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8760" windowHeight="6690" tabRatio="901" activeTab="1"/>
  </bookViews>
  <sheets>
    <sheet name="Criteria" sheetId="1" r:id="rId1"/>
    <sheet name="data input for RPA" sheetId="2" r:id="rId2"/>
    <sheet name="RPA" sheetId="3" r:id="rId3"/>
    <sheet name="WQBEL" sheetId="4" r:id="rId4"/>
    <sheet name="Data and CV calcs" sheetId="5" r:id="rId5"/>
    <sheet name="raw data" sheetId="6" r:id="rId6"/>
  </sheets>
  <externalReferences>
    <externalReference r:id="rId9"/>
    <externalReference r:id="rId10"/>
    <externalReference r:id="rId11"/>
    <externalReference r:id="rId12"/>
    <externalReference r:id="rId13"/>
    <externalReference r:id="rId14"/>
  </externalReferences>
  <definedNames>
    <definedName name="\a">'[2]DGEF0696'!#REF!</definedName>
    <definedName name="\b">'[3]DIG1095'!#REF!</definedName>
    <definedName name="\c">'[2]DGEF0696'!#REF!</definedName>
    <definedName name="\d">'[2]DGEF0696'!#REF!</definedName>
    <definedName name="\e">'[2]DGEF0696'!#REF!</definedName>
    <definedName name="\f">'[1]Metals'!#REF!</definedName>
    <definedName name="\g">#REF!</definedName>
    <definedName name="\i">'[2]DGEF0696'!#REF!</definedName>
    <definedName name="\p">#REF!</definedName>
    <definedName name="\s">#N/A</definedName>
    <definedName name="\w">'[2]DGEF0696'!#REF!</definedName>
    <definedName name="\y">'[4]BACT1295'!$A$43</definedName>
    <definedName name="\z">#REF!</definedName>
    <definedName name="AAMACRO">'[2]DGEF0696'!#REF!</definedName>
    <definedName name="ABMACRO">'[2]DGEF0696'!#REF!</definedName>
    <definedName name="BIOCALC">#REF!</definedName>
    <definedName name="COLIFORM">'[4]BACT1295'!$J$9</definedName>
    <definedName name="DAY">'[2]DGEF0696'!#REF!</definedName>
    <definedName name="_xlnm.Print_Area" localSheetId="5">'raw data'!$A$1:$AJ$123</definedName>
    <definedName name="_xlnm.Print_Area" localSheetId="3">'WQBEL'!$A$3:$H$55</definedName>
    <definedName name="Print_Area_MI">#REF!</definedName>
    <definedName name="_xlnm.Print_Titles" localSheetId="0">'Criteria'!$A:$B,'Criteria'!$5:$8</definedName>
    <definedName name="_xlnm.Print_Titles" localSheetId="1">'data input for RPA'!$4:$4</definedName>
    <definedName name="_xlnm.Print_Titles" localSheetId="5">'raw data'!$1:$2</definedName>
    <definedName name="_xlnm.Print_Titles" localSheetId="2">'RPA'!$A:$B,'RPA'!$1:$3</definedName>
    <definedName name="TIME">'[4]BACT1295'!$B$9</definedName>
  </definedNames>
  <calcPr fullCalcOnLoad="1"/>
</workbook>
</file>

<file path=xl/comments1.xml><?xml version="1.0" encoding="utf-8"?>
<comments xmlns="http://schemas.openxmlformats.org/spreadsheetml/2006/main">
  <authors>
    <author>Dr. Indra N. Mitra</author>
    <author>laducan</author>
    <author>Scott Keen</author>
    <author>tong</author>
  </authors>
  <commentList>
    <comment ref="B1" authorId="0">
      <text>
        <r>
          <rPr>
            <sz val="8"/>
            <rFont val="Tahoma"/>
            <family val="2"/>
          </rPr>
          <t>RB2: BP criteria selected for As, Cd, Cr, Pb, Hg, Ni, Se, Ag, Zn, and CN - for waters in the region except for South Bay below Dumbarton Bridge.</t>
        </r>
        <r>
          <rPr>
            <sz val="8"/>
            <rFont val="Tahoma"/>
            <family val="0"/>
          </rPr>
          <t xml:space="preserve">
</t>
        </r>
      </text>
    </comment>
    <comment ref="V6" authorId="0">
      <text>
        <r>
          <rPr>
            <b/>
            <sz val="8"/>
            <rFont val="Tahoma"/>
            <family val="0"/>
          </rPr>
          <t xml:space="preserve">Table 1 of paragraph b(2) - page 31717 of CTR </t>
        </r>
        <r>
          <rPr>
            <sz val="8"/>
            <rFont val="Tahoma"/>
            <family val="0"/>
          </rPr>
          <t xml:space="preserve">
</t>
        </r>
      </text>
    </comment>
    <comment ref="Z6" authorId="0">
      <text>
        <r>
          <rPr>
            <b/>
            <sz val="8"/>
            <rFont val="Tahoma"/>
            <family val="0"/>
          </rPr>
          <t xml:space="preserve">Table 2 of paragraph b(2) - page 31717 of CTR </t>
        </r>
        <r>
          <rPr>
            <sz val="8"/>
            <rFont val="Tahoma"/>
            <family val="0"/>
          </rPr>
          <t xml:space="preserve">
</t>
        </r>
      </text>
    </comment>
    <comment ref="Q12" authorId="0">
      <text>
        <r>
          <rPr>
            <sz val="8"/>
            <rFont val="Tahoma"/>
            <family val="2"/>
          </rPr>
          <t>used eq in paragraph b(2) - page 31717 of CTR</t>
        </r>
        <r>
          <rPr>
            <sz val="8"/>
            <rFont val="Tahoma"/>
            <family val="0"/>
          </rPr>
          <t xml:space="preserve">
</t>
        </r>
      </text>
    </comment>
    <comment ref="V12" authorId="1">
      <text>
        <r>
          <rPr>
            <sz val="8"/>
            <rFont val="Tahoma"/>
            <family val="0"/>
          </rPr>
          <t>These reflect the values in the CTR, not the revised Cd criteria/factors published in April 2000.</t>
        </r>
      </text>
    </comment>
    <comment ref="Z12" authorId="0">
      <text>
        <r>
          <rPr>
            <sz val="8"/>
            <rFont val="Tahoma"/>
            <family val="2"/>
          </rPr>
          <t>used eq in Table 3 of paragraph (b)(2)- page 31717 of CTR</t>
        </r>
        <r>
          <rPr>
            <sz val="8"/>
            <rFont val="Tahoma"/>
            <family val="0"/>
          </rPr>
          <t xml:space="preserve">
</t>
        </r>
      </text>
    </comment>
    <comment ref="AA12" authorId="0">
      <text>
        <r>
          <rPr>
            <sz val="8"/>
            <rFont val="Tahoma"/>
            <family val="2"/>
          </rPr>
          <t>used eq in Table 3 of paragraph (b)(2)- page 31717 of CTR</t>
        </r>
        <r>
          <rPr>
            <sz val="8"/>
            <rFont val="Tahoma"/>
            <family val="0"/>
          </rPr>
          <t xml:space="preserve">
</t>
        </r>
      </text>
    </comment>
    <comment ref="Q13" authorId="0">
      <text>
        <r>
          <rPr>
            <sz val="8"/>
            <rFont val="Tahoma"/>
            <family val="2"/>
          </rPr>
          <t>used eq in paragraph b(2) - page 31717 of CTR</t>
        </r>
        <r>
          <rPr>
            <sz val="8"/>
            <rFont val="Tahoma"/>
            <family val="0"/>
          </rPr>
          <t xml:space="preserve">
</t>
        </r>
      </text>
    </comment>
    <comment ref="Q15" authorId="0">
      <text>
        <r>
          <rPr>
            <sz val="8"/>
            <rFont val="Tahoma"/>
            <family val="2"/>
          </rPr>
          <t>used eq in paragraph b(2) - page 31717 of CTR</t>
        </r>
        <r>
          <rPr>
            <sz val="8"/>
            <rFont val="Tahoma"/>
            <family val="0"/>
          </rPr>
          <t xml:space="preserve">
</t>
        </r>
      </text>
    </comment>
    <comment ref="Q16" authorId="0">
      <text>
        <r>
          <rPr>
            <sz val="8"/>
            <rFont val="Tahoma"/>
            <family val="2"/>
          </rPr>
          <t>used eq in paragraph b(2) - page 31717 of CTR</t>
        </r>
        <r>
          <rPr>
            <sz val="8"/>
            <rFont val="Tahoma"/>
            <family val="0"/>
          </rPr>
          <t xml:space="preserve">
</t>
        </r>
      </text>
    </comment>
    <comment ref="Z16" authorId="0">
      <text>
        <r>
          <rPr>
            <sz val="8"/>
            <rFont val="Tahoma"/>
            <family val="2"/>
          </rPr>
          <t>used eq in Table 3 of paragraph (b)(2)- page 31717 of CTR</t>
        </r>
      </text>
    </comment>
    <comment ref="AA16" authorId="0">
      <text>
        <r>
          <rPr>
            <sz val="8"/>
            <rFont val="Tahoma"/>
            <family val="2"/>
          </rPr>
          <t>used eq in Table 3 of paragraph (b)(2)- page 31717 of CTR</t>
        </r>
      </text>
    </comment>
    <comment ref="Q18" authorId="0">
      <text>
        <r>
          <rPr>
            <sz val="8"/>
            <rFont val="Tahoma"/>
            <family val="2"/>
          </rPr>
          <t>used eq in paragraph b(2) - page 31717 of CTR</t>
        </r>
        <r>
          <rPr>
            <sz val="8"/>
            <rFont val="Tahoma"/>
            <family val="0"/>
          </rPr>
          <t xml:space="preserve">
</t>
        </r>
      </text>
    </comment>
    <comment ref="P62" authorId="0">
      <text>
        <r>
          <rPr>
            <sz val="8"/>
            <rFont val="Tahoma"/>
            <family val="2"/>
          </rPr>
          <t xml:space="preserve">see footnote 'f' </t>
        </r>
        <r>
          <rPr>
            <sz val="8"/>
            <rFont val="Tahoma"/>
            <family val="0"/>
          </rPr>
          <t xml:space="preserve">
</t>
        </r>
      </text>
    </comment>
    <comment ref="Q62" authorId="0">
      <text>
        <r>
          <rPr>
            <sz val="8"/>
            <rFont val="Tahoma"/>
            <family val="2"/>
          </rPr>
          <t xml:space="preserve">see footnote 'f' </t>
        </r>
        <r>
          <rPr>
            <sz val="8"/>
            <rFont val="Tahoma"/>
            <family val="0"/>
          </rPr>
          <t xml:space="preserve">
</t>
        </r>
      </text>
    </comment>
    <comment ref="P12" authorId="0">
      <text>
        <r>
          <rPr>
            <sz val="8"/>
            <rFont val="Tahoma"/>
            <family val="2"/>
          </rPr>
          <t>used eq in paragraph b(2) - page 31717 of CTR</t>
        </r>
        <r>
          <rPr>
            <sz val="8"/>
            <rFont val="Tahoma"/>
            <family val="0"/>
          </rPr>
          <t xml:space="preserve">
</t>
        </r>
      </text>
    </comment>
    <comment ref="P13" authorId="0">
      <text>
        <r>
          <rPr>
            <sz val="8"/>
            <rFont val="Tahoma"/>
            <family val="2"/>
          </rPr>
          <t>used eq in paragraph b(2) - page 31717 of CTR</t>
        </r>
        <r>
          <rPr>
            <sz val="8"/>
            <rFont val="Tahoma"/>
            <family val="0"/>
          </rPr>
          <t xml:space="preserve">
</t>
        </r>
      </text>
    </comment>
    <comment ref="P15" authorId="0">
      <text>
        <r>
          <rPr>
            <sz val="8"/>
            <rFont val="Tahoma"/>
            <family val="2"/>
          </rPr>
          <t xml:space="preserve">used eq in paragraph b(2) - page 31717 of CTR
</t>
        </r>
      </text>
    </comment>
    <comment ref="P16" authorId="0">
      <text>
        <r>
          <rPr>
            <sz val="8"/>
            <rFont val="Tahoma"/>
            <family val="2"/>
          </rPr>
          <t>used eq in paragraph b(2) - page 31717 of CTR</t>
        </r>
        <r>
          <rPr>
            <sz val="8"/>
            <rFont val="Tahoma"/>
            <family val="0"/>
          </rPr>
          <t xml:space="preserve">
</t>
        </r>
      </text>
    </comment>
    <comment ref="P18" authorId="0">
      <text>
        <r>
          <rPr>
            <sz val="8"/>
            <rFont val="Tahoma"/>
            <family val="2"/>
          </rPr>
          <t>used eq in paragraph b(2) - page 31717 of CTR</t>
        </r>
        <r>
          <rPr>
            <sz val="8"/>
            <rFont val="Tahoma"/>
            <family val="0"/>
          </rPr>
          <t xml:space="preserve">
</t>
        </r>
      </text>
    </comment>
    <comment ref="P19" authorId="0">
      <text>
        <r>
          <rPr>
            <sz val="8"/>
            <rFont val="Tahoma"/>
            <family val="2"/>
          </rPr>
          <t>see footnote 'p'</t>
        </r>
        <r>
          <rPr>
            <sz val="8"/>
            <rFont val="Tahoma"/>
            <family val="0"/>
          </rPr>
          <t xml:space="preserve">
</t>
        </r>
      </text>
    </comment>
    <comment ref="R6" authorId="2">
      <text>
        <r>
          <rPr>
            <b/>
            <sz val="8"/>
            <rFont val="Tahoma"/>
            <family val="0"/>
          </rPr>
          <t>Scott Keen:</t>
        </r>
        <r>
          <rPr>
            <sz val="8"/>
            <rFont val="Tahoma"/>
            <family val="0"/>
          </rPr>
          <t xml:space="preserve">
expressed as total recoverable metal</t>
        </r>
      </text>
    </comment>
    <comment ref="P6" authorId="2">
      <text>
        <r>
          <rPr>
            <b/>
            <sz val="8"/>
            <rFont val="Tahoma"/>
            <family val="0"/>
          </rPr>
          <t>Scott Keen:</t>
        </r>
        <r>
          <rPr>
            <sz val="8"/>
            <rFont val="Tahoma"/>
            <family val="0"/>
          </rPr>
          <t xml:space="preserve">
expressed as total recoverable metal</t>
        </r>
      </text>
    </comment>
    <comment ref="L6" authorId="2">
      <text>
        <r>
          <rPr>
            <b/>
            <sz val="8"/>
            <rFont val="Tahoma"/>
            <family val="0"/>
          </rPr>
          <t>Scott Keen:</t>
        </r>
        <r>
          <rPr>
            <sz val="8"/>
            <rFont val="Tahoma"/>
            <family val="0"/>
          </rPr>
          <t xml:space="preserve">
Criteria for copper and nickel reflect site-specifc objectives established by amendment of the Basin Plan with Resolution R2-2002-0061.  Criteria below are expressed as total recoverable metal after application of metal translators of 0.53 and 0.44 for copper and nickel, respectively, to the criteria established by amendment to the Basin Plan.   </t>
        </r>
      </text>
    </comment>
    <comment ref="L130" authorId="1">
      <text>
        <r>
          <rPr>
            <sz val="8"/>
            <rFont val="Tahoma"/>
            <family val="0"/>
          </rPr>
          <t xml:space="preserve">It is an EPA revised criteria (sw). For details, see email from RB2 (LR).
</t>
        </r>
      </text>
    </comment>
    <comment ref="C130" authorId="3">
      <text>
        <r>
          <rPr>
            <b/>
            <sz val="8"/>
            <rFont val="Tahoma"/>
            <family val="0"/>
          </rPr>
          <t>0.005 in SJSC RPA, needs to check</t>
        </r>
        <r>
          <rPr>
            <sz val="8"/>
            <rFont val="Tahoma"/>
            <family val="0"/>
          </rPr>
          <t xml:space="preserve">
</t>
        </r>
      </text>
    </comment>
    <comment ref="P20" authorId="0">
      <text>
        <r>
          <rPr>
            <b/>
            <sz val="8"/>
            <rFont val="Tahoma"/>
            <family val="0"/>
          </rPr>
          <t>used eq in paragraph b(2) - page 31717 of CTR</t>
        </r>
        <r>
          <rPr>
            <sz val="8"/>
            <rFont val="Tahoma"/>
            <family val="0"/>
          </rPr>
          <t xml:space="preserve">
</t>
        </r>
      </text>
    </comment>
    <comment ref="P22" authorId="0">
      <text>
        <r>
          <rPr>
            <sz val="8"/>
            <rFont val="Tahoma"/>
            <family val="2"/>
          </rPr>
          <t>used eq in paragraph b(2) - page 31717 of CTR</t>
        </r>
        <r>
          <rPr>
            <sz val="8"/>
            <rFont val="Tahoma"/>
            <family val="0"/>
          </rPr>
          <t xml:space="preserve">
</t>
        </r>
      </text>
    </comment>
    <comment ref="Q22" authorId="0">
      <text>
        <r>
          <rPr>
            <sz val="8"/>
            <rFont val="Tahoma"/>
            <family val="2"/>
          </rPr>
          <t>used eq in paragraph b(2) - page 31717 of CTR</t>
        </r>
        <r>
          <rPr>
            <sz val="8"/>
            <rFont val="Tahoma"/>
            <family val="0"/>
          </rPr>
          <t xml:space="preserve">
</t>
        </r>
      </text>
    </comment>
    <comment ref="AD15" authorId="2">
      <text>
        <r>
          <rPr>
            <sz val="8"/>
            <rFont val="Tahoma"/>
            <family val="0"/>
          </rPr>
          <t>from Resolution No. R2-2002-0061</t>
        </r>
      </text>
    </comment>
    <comment ref="AD18" authorId="2">
      <text>
        <r>
          <rPr>
            <sz val="8"/>
            <rFont val="Tahoma"/>
            <family val="0"/>
          </rPr>
          <t>from Resolution No. R2-2002-0061</t>
        </r>
      </text>
    </comment>
    <comment ref="AE15" authorId="2">
      <text>
        <r>
          <rPr>
            <sz val="8"/>
            <rFont val="Tahoma"/>
            <family val="0"/>
          </rPr>
          <t>from Resolution No. R2-2002-0061</t>
        </r>
      </text>
    </comment>
    <comment ref="AE18" authorId="2">
      <text>
        <r>
          <rPr>
            <sz val="8"/>
            <rFont val="Tahoma"/>
            <family val="0"/>
          </rPr>
          <t>from Resolution No. R2-2002-0061</t>
        </r>
      </text>
    </comment>
  </commentList>
</comments>
</file>

<file path=xl/comments2.xml><?xml version="1.0" encoding="utf-8"?>
<comments xmlns="http://schemas.openxmlformats.org/spreadsheetml/2006/main">
  <authors>
    <author>Dr. Indra N. Mitra</author>
    <author>Scott Keen</author>
  </authors>
  <commentList>
    <comment ref="D3" authorId="0">
      <text>
        <r>
          <rPr>
            <b/>
            <sz val="8"/>
            <rFont val="Tahoma"/>
            <family val="0"/>
          </rPr>
          <t>Enter data if it is an "Y" in the 1st column to the left</t>
        </r>
        <r>
          <rPr>
            <sz val="8"/>
            <rFont val="Tahoma"/>
            <family val="0"/>
          </rPr>
          <t xml:space="preserve">
</t>
        </r>
      </text>
    </comment>
    <comment ref="E3" authorId="0">
      <text>
        <r>
          <rPr>
            <b/>
            <sz val="8"/>
            <rFont val="Tahoma"/>
            <family val="0"/>
          </rPr>
          <t>Indra:</t>
        </r>
        <r>
          <rPr>
            <sz val="8"/>
            <rFont val="Tahoma"/>
            <family val="0"/>
          </rPr>
          <t xml:space="preserve">
Enter data only if there is an 'Y' in 1st column to the left</t>
        </r>
      </text>
    </comment>
    <comment ref="F3" authorId="0">
      <text>
        <r>
          <rPr>
            <b/>
            <sz val="8"/>
            <rFont val="Tahoma"/>
            <family val="0"/>
          </rPr>
          <t>Indra:</t>
        </r>
        <r>
          <rPr>
            <sz val="8"/>
            <rFont val="Tahoma"/>
            <family val="0"/>
          </rPr>
          <t xml:space="preserve">
Enter data only if there is 'N' in 2nd column to the left and 'Y' in 3rd column to the left</t>
        </r>
      </text>
    </comment>
    <comment ref="L4" authorId="0">
      <text>
        <r>
          <rPr>
            <b/>
            <sz val="8"/>
            <rFont val="Tahoma"/>
            <family val="0"/>
          </rPr>
          <t xml:space="preserve">Indra:
Leave blank if no data available
</t>
        </r>
        <r>
          <rPr>
            <sz val="8"/>
            <rFont val="Tahoma"/>
            <family val="0"/>
          </rPr>
          <t xml:space="preserve">
</t>
        </r>
      </text>
    </comment>
    <comment ref="J3" authorId="0">
      <text>
        <r>
          <rPr>
            <b/>
            <sz val="8"/>
            <rFont val="Tahoma"/>
            <family val="0"/>
          </rPr>
          <t>Enter data if it is an "Y" in the 1st column to the left</t>
        </r>
        <r>
          <rPr>
            <sz val="8"/>
            <rFont val="Tahoma"/>
            <family val="0"/>
          </rPr>
          <t xml:space="preserve">
</t>
        </r>
      </text>
    </comment>
    <comment ref="K3" authorId="0">
      <text>
        <r>
          <rPr>
            <b/>
            <sz val="8"/>
            <rFont val="Tahoma"/>
            <family val="0"/>
          </rPr>
          <t>Indra:</t>
        </r>
        <r>
          <rPr>
            <sz val="8"/>
            <rFont val="Tahoma"/>
            <family val="0"/>
          </rPr>
          <t xml:space="preserve">
Enter data only if there is an 'Y' in 1st column to the left</t>
        </r>
      </text>
    </comment>
    <comment ref="L84" authorId="1">
      <text>
        <r>
          <rPr>
            <b/>
            <sz val="8"/>
            <rFont val="Tahoma"/>
            <family val="0"/>
          </rPr>
          <t>Scott Keen:</t>
        </r>
        <r>
          <rPr>
            <sz val="8"/>
            <rFont val="Tahoma"/>
            <family val="0"/>
          </rPr>
          <t xml:space="preserve">
DNQ - Est. Conc.</t>
        </r>
      </text>
    </comment>
  </commentList>
</comments>
</file>

<file path=xl/comments4.xml><?xml version="1.0" encoding="utf-8"?>
<comments xmlns="http://schemas.openxmlformats.org/spreadsheetml/2006/main">
  <authors>
    <author>laducan</author>
  </authors>
  <commentList>
    <comment ref="A7" authorId="0">
      <text>
        <r>
          <rPr>
            <sz val="8"/>
            <rFont val="Tahoma"/>
            <family val="2"/>
          </rPr>
          <t>Maximum of 10 for RB 2 facilities</t>
        </r>
      </text>
    </comment>
    <comment ref="A8" authorId="0">
      <text>
        <r>
          <rPr>
            <sz val="8"/>
            <rFont val="Tahoma"/>
            <family val="0"/>
          </rPr>
          <t xml:space="preserve">If sampling frequency is 4x/month or less, set n=4 (see pg. 8 of SIP).
</t>
        </r>
      </text>
    </comment>
    <comment ref="B40" authorId="0">
      <text>
        <r>
          <rPr>
            <sz val="8"/>
            <rFont val="Tahoma"/>
            <family val="0"/>
          </rPr>
          <t xml:space="preserve">
applicable only with HH criteria
</t>
        </r>
      </text>
    </comment>
    <comment ref="C40" authorId="0">
      <text>
        <r>
          <rPr>
            <sz val="8"/>
            <rFont val="Tahoma"/>
            <family val="0"/>
          </rPr>
          <t xml:space="preserve">
applicable only with HH criteria
</t>
        </r>
      </text>
    </comment>
    <comment ref="D40" authorId="0">
      <text>
        <r>
          <rPr>
            <sz val="8"/>
            <rFont val="Tahoma"/>
            <family val="0"/>
          </rPr>
          <t xml:space="preserve">applicable only with HH criteria
</t>
        </r>
      </text>
    </comment>
    <comment ref="E40" authorId="0">
      <text>
        <r>
          <rPr>
            <sz val="8"/>
            <rFont val="Tahoma"/>
            <family val="0"/>
          </rPr>
          <t xml:space="preserve">
applicable only with HH criteria
</t>
        </r>
      </text>
    </comment>
    <comment ref="F40" authorId="0">
      <text>
        <r>
          <rPr>
            <sz val="8"/>
            <rFont val="Tahoma"/>
            <family val="0"/>
          </rPr>
          <t xml:space="preserve">
applicable only with HH criteria
</t>
        </r>
      </text>
    </comment>
  </commentList>
</comments>
</file>

<file path=xl/comments5.xml><?xml version="1.0" encoding="utf-8"?>
<comments xmlns="http://schemas.openxmlformats.org/spreadsheetml/2006/main">
  <authors>
    <author>tong</author>
  </authors>
  <commentList>
    <comment ref="I17" authorId="0">
      <text>
        <r>
          <rPr>
            <b/>
            <sz val="8"/>
            <rFont val="Tahoma"/>
            <family val="0"/>
          </rPr>
          <t>suspected outlier</t>
        </r>
        <r>
          <rPr>
            <sz val="8"/>
            <rFont val="Tahoma"/>
            <family val="0"/>
          </rPr>
          <t xml:space="preserve">
</t>
        </r>
      </text>
    </comment>
  </commentList>
</comments>
</file>

<file path=xl/comments6.xml><?xml version="1.0" encoding="utf-8"?>
<comments xmlns="http://schemas.openxmlformats.org/spreadsheetml/2006/main">
  <authors>
    <author>Scott Keen</author>
    <author>tong</author>
  </authors>
  <commentList>
    <comment ref="AD82" authorId="0">
      <text>
        <r>
          <rPr>
            <b/>
            <sz val="8"/>
            <rFont val="Tahoma"/>
            <family val="0"/>
          </rPr>
          <t>Scott Keen:</t>
        </r>
        <r>
          <rPr>
            <sz val="8"/>
            <rFont val="Tahoma"/>
            <family val="0"/>
          </rPr>
          <t xml:space="preserve">
DNQ - Est. Conc.</t>
        </r>
      </text>
    </comment>
    <comment ref="AH82" authorId="0">
      <text>
        <r>
          <rPr>
            <b/>
            <sz val="8"/>
            <rFont val="Tahoma"/>
            <family val="0"/>
          </rPr>
          <t>Scott Keen:</t>
        </r>
        <r>
          <rPr>
            <sz val="8"/>
            <rFont val="Tahoma"/>
            <family val="0"/>
          </rPr>
          <t xml:space="preserve">
DNQ - Est. Conc.</t>
        </r>
      </text>
    </comment>
    <comment ref="AD19" authorId="1">
      <text>
        <r>
          <rPr>
            <sz val="8"/>
            <rFont val="Tahoma"/>
            <family val="0"/>
          </rPr>
          <t xml:space="preserve">raw data not found
</t>
        </r>
      </text>
    </comment>
  </commentList>
</comments>
</file>

<file path=xl/sharedStrings.xml><?xml version="1.0" encoding="utf-8"?>
<sst xmlns="http://schemas.openxmlformats.org/spreadsheetml/2006/main" count="1731" uniqueCount="364">
  <si>
    <t>Beginning</t>
  </si>
  <si>
    <t>Step 2</t>
  </si>
  <si>
    <t>Step 3</t>
  </si>
  <si>
    <t>Step 4</t>
  </si>
  <si>
    <t>Step 5</t>
  </si>
  <si>
    <t>Step 6</t>
  </si>
  <si>
    <t xml:space="preserve">Constituent name </t>
  </si>
  <si>
    <t>Basin Plan Objectives (ug/L)- Regional Board 2</t>
  </si>
  <si>
    <t>CTR Water Quality Criteria (ug/L)</t>
  </si>
  <si>
    <t>from Table 4-3</t>
  </si>
  <si>
    <t>Freshwater</t>
  </si>
  <si>
    <t>Saltwater</t>
  </si>
  <si>
    <t xml:space="preserve">Conversion Factor (CF) </t>
  </si>
  <si>
    <t>Deep Water (24-hr)</t>
  </si>
  <si>
    <t>1-hr</t>
  </si>
  <si>
    <t>24-hr</t>
  </si>
  <si>
    <t>Max</t>
  </si>
  <si>
    <t>4-day</t>
  </si>
  <si>
    <t>Organisms only</t>
  </si>
  <si>
    <t>freshwater acute criteria</t>
  </si>
  <si>
    <t>freshwater chronic criteria</t>
  </si>
  <si>
    <t>saltwater acute criteria</t>
  </si>
  <si>
    <t>saltwater chronic criteria</t>
  </si>
  <si>
    <t>Antimony</t>
  </si>
  <si>
    <t>Y</t>
  </si>
  <si>
    <t>N</t>
  </si>
  <si>
    <t xml:space="preserve">Beryllium </t>
  </si>
  <si>
    <t>5a</t>
  </si>
  <si>
    <t>Chromium (III)</t>
  </si>
  <si>
    <t>5b</t>
  </si>
  <si>
    <t>Thallium</t>
  </si>
  <si>
    <t>Asbestos</t>
  </si>
  <si>
    <t>Acrolein</t>
  </si>
  <si>
    <t>Acrylonitrile</t>
  </si>
  <si>
    <t>Benzene</t>
  </si>
  <si>
    <t>Bromoform</t>
  </si>
  <si>
    <t>Carbon Tetrachloride</t>
  </si>
  <si>
    <t>Chlorobenzene</t>
  </si>
  <si>
    <t>Chlorodibromomethane</t>
  </si>
  <si>
    <t>Chloroethane</t>
  </si>
  <si>
    <t>2-Chloroethylvinyl ether</t>
  </si>
  <si>
    <t>Chloroform</t>
  </si>
  <si>
    <t>Dichlorobromomethane</t>
  </si>
  <si>
    <t>1,1-Dichloroethane</t>
  </si>
  <si>
    <t>1,2-Dichloroethane</t>
  </si>
  <si>
    <t>1,1-Dichloroethylene</t>
  </si>
  <si>
    <t>1,2-Dichloropropane</t>
  </si>
  <si>
    <t>1,3-Dichloropropylene</t>
  </si>
  <si>
    <t>Ethylbenzene</t>
  </si>
  <si>
    <t>Methyl Bromide</t>
  </si>
  <si>
    <t>Methyl Chloride</t>
  </si>
  <si>
    <t>Methylene Chloride</t>
  </si>
  <si>
    <t>1,1,2,2-Tetrachloroethane</t>
  </si>
  <si>
    <t>Tetrachloroethylene</t>
  </si>
  <si>
    <t>Toluene</t>
  </si>
  <si>
    <t>1,2-Trans-Dichloroethylene</t>
  </si>
  <si>
    <t>1,1,1-Trichloroethane</t>
  </si>
  <si>
    <t>1,1,2-Trichloroethane</t>
  </si>
  <si>
    <t>Trichloroethylene</t>
  </si>
  <si>
    <t>Vinyl Chloride</t>
  </si>
  <si>
    <t>2-Chlorophenol</t>
  </si>
  <si>
    <t>2,4-Dichlorophenol</t>
  </si>
  <si>
    <t>2,4-Dimethylphenol</t>
  </si>
  <si>
    <t>2-Methyl- 4,6-Dinitrophenol</t>
  </si>
  <si>
    <t>2,4-Dinitrophenol</t>
  </si>
  <si>
    <t>2-Nitrophenol</t>
  </si>
  <si>
    <t>4-Nitrophenol</t>
  </si>
  <si>
    <t>3-Methyl 4-Chlorophenol</t>
  </si>
  <si>
    <t>Pentachlorophenol</t>
  </si>
  <si>
    <t>Phenol</t>
  </si>
  <si>
    <t>2,4,6-Trichlorophenol</t>
  </si>
  <si>
    <t>Acenaphthene</t>
  </si>
  <si>
    <t>Acenaphthylene</t>
  </si>
  <si>
    <t>Anthracene</t>
  </si>
  <si>
    <t>Benzidine</t>
  </si>
  <si>
    <t>Benzo(a)Anthracene</t>
  </si>
  <si>
    <t>Benzo(a)Pyrene</t>
  </si>
  <si>
    <t>Benzo(b)Fluoranthene</t>
  </si>
  <si>
    <t>Benzo(ghi)Perylene</t>
  </si>
  <si>
    <t>Benzo(k)Fluoranthene</t>
  </si>
  <si>
    <t>Bis(2-Chloroethoxy)Methane</t>
  </si>
  <si>
    <t>Bis(2-Chloroethyl)Ether</t>
  </si>
  <si>
    <t>Bis(2-Chloroisopropyl)Ether</t>
  </si>
  <si>
    <t>Bis(2-Ethylhexyl)Phthalate</t>
  </si>
  <si>
    <t>4-Bromophenyl Phenyl Ether</t>
  </si>
  <si>
    <t>Butylbenzyl Phthalate</t>
  </si>
  <si>
    <t>2-Chloronaphthalene</t>
  </si>
  <si>
    <t>4-Chlorophenyl Phenyl Ether</t>
  </si>
  <si>
    <t>Chrysene</t>
  </si>
  <si>
    <t>Dibenzo(a,h)Anthracene</t>
  </si>
  <si>
    <t>1,2-Dichlorobenzene</t>
  </si>
  <si>
    <t>1,3-Dichlorobenzene</t>
  </si>
  <si>
    <t>1,4-Dichlorobenzene</t>
  </si>
  <si>
    <t>3,3 Dichlorobenzidine</t>
  </si>
  <si>
    <t>Diethyl Phthalate</t>
  </si>
  <si>
    <t>Dimethyl Phthalate</t>
  </si>
  <si>
    <t>Di-n-Butyl Phthalate</t>
  </si>
  <si>
    <t>2,4-Dinitrotoluene</t>
  </si>
  <si>
    <t>2,6-Dinitrotoluene</t>
  </si>
  <si>
    <t>Di-n-Octyl Phthalate</t>
  </si>
  <si>
    <t>1,2-Diphenylhydrazine</t>
  </si>
  <si>
    <t>Fluoranthene</t>
  </si>
  <si>
    <t>Fluorene</t>
  </si>
  <si>
    <t>Hexachlorobenzene</t>
  </si>
  <si>
    <t>Hexachlorobutadiene</t>
  </si>
  <si>
    <t>Hexachlorocyclopentadiene</t>
  </si>
  <si>
    <t>Hexachloroethane</t>
  </si>
  <si>
    <t>Indeno(1,2,3-cd)Pyrene</t>
  </si>
  <si>
    <t>Isophorone</t>
  </si>
  <si>
    <t>Naphthalene</t>
  </si>
  <si>
    <t>Nitrobenzene</t>
  </si>
  <si>
    <t>N-Nitrosodimethylamine</t>
  </si>
  <si>
    <t>N-Nitrosodi-n-Propylamine</t>
  </si>
  <si>
    <t>N-Nitrosodiphenylamine</t>
  </si>
  <si>
    <t>Phenanthrene</t>
  </si>
  <si>
    <t>Pyrene</t>
  </si>
  <si>
    <t>1,2,4-Trichlorobenzene</t>
  </si>
  <si>
    <t>Aldrin</t>
  </si>
  <si>
    <t>alpha-BHC</t>
  </si>
  <si>
    <t>beta-BHC</t>
  </si>
  <si>
    <t>gamma-BHC</t>
  </si>
  <si>
    <t>delta-BHC</t>
  </si>
  <si>
    <t>Chlordane (303d listed)</t>
  </si>
  <si>
    <t>4,4'-DDT (303d listed)</t>
  </si>
  <si>
    <t>4,4'-DDE (linked to DDT)</t>
  </si>
  <si>
    <t>4,4'-DDD</t>
  </si>
  <si>
    <t>Dieldrin (303d listed)</t>
  </si>
  <si>
    <t>alpha-Endosulfan</t>
  </si>
  <si>
    <t>beta-Endolsulfan</t>
  </si>
  <si>
    <t>Endosulfan Sulfate</t>
  </si>
  <si>
    <t>Endrin</t>
  </si>
  <si>
    <t>Endrin Aldehyde</t>
  </si>
  <si>
    <t>Heptachlor</t>
  </si>
  <si>
    <t>Heptachlor Epoxide</t>
  </si>
  <si>
    <t>Toxaphene</t>
  </si>
  <si>
    <t xml:space="preserve">a. The most stringent of salt and fresh water criteria were selected for this analysis. </t>
  </si>
  <si>
    <t xml:space="preserve">d. Acronyms in the "Final Result" column: </t>
  </si>
  <si>
    <t>IM: Interim monitoring is required</t>
  </si>
  <si>
    <r>
      <t xml:space="preserve">Arsenic </t>
    </r>
    <r>
      <rPr>
        <vertAlign val="superscript"/>
        <sz val="10"/>
        <rFont val="Arial"/>
        <family val="2"/>
      </rPr>
      <t>b</t>
    </r>
  </si>
  <si>
    <r>
      <t xml:space="preserve">Cadmium  </t>
    </r>
    <r>
      <rPr>
        <vertAlign val="superscript"/>
        <sz val="10"/>
        <rFont val="Arial"/>
        <family val="2"/>
      </rPr>
      <t>b</t>
    </r>
  </si>
  <si>
    <r>
      <t xml:space="preserve">Lead </t>
    </r>
    <r>
      <rPr>
        <vertAlign val="superscript"/>
        <sz val="10"/>
        <rFont val="Arial"/>
        <family val="2"/>
      </rPr>
      <t>b</t>
    </r>
  </si>
  <si>
    <r>
      <t xml:space="preserve">Mercury (303d listed) </t>
    </r>
    <r>
      <rPr>
        <vertAlign val="superscript"/>
        <sz val="10"/>
        <rFont val="Arial"/>
        <family val="2"/>
      </rPr>
      <t>b</t>
    </r>
  </si>
  <si>
    <r>
      <t xml:space="preserve">Nickel </t>
    </r>
    <r>
      <rPr>
        <vertAlign val="superscript"/>
        <sz val="10"/>
        <rFont val="Arial"/>
        <family val="2"/>
      </rPr>
      <t>b</t>
    </r>
  </si>
  <si>
    <r>
      <t xml:space="preserve">Silver </t>
    </r>
    <r>
      <rPr>
        <vertAlign val="superscript"/>
        <sz val="10"/>
        <rFont val="Arial"/>
        <family val="2"/>
      </rPr>
      <t>b</t>
    </r>
  </si>
  <si>
    <r>
      <t xml:space="preserve">Zinc </t>
    </r>
    <r>
      <rPr>
        <vertAlign val="superscript"/>
        <sz val="10"/>
        <rFont val="Arial"/>
        <family val="2"/>
      </rPr>
      <t>b</t>
    </r>
  </si>
  <si>
    <r>
      <t xml:space="preserve">Cyanide </t>
    </r>
    <r>
      <rPr>
        <vertAlign val="superscript"/>
        <sz val="10"/>
        <rFont val="Arial"/>
        <family val="2"/>
      </rPr>
      <t>b</t>
    </r>
  </si>
  <si>
    <r>
      <t xml:space="preserve">Selenium (303d listed) </t>
    </r>
    <r>
      <rPr>
        <vertAlign val="superscript"/>
        <sz val="10"/>
        <rFont val="Arial"/>
        <family val="2"/>
      </rPr>
      <t>b</t>
    </r>
  </si>
  <si>
    <t>b. According to Table 1 of Section (b)(1) of CTR (40CFR 131.38), those criteria should use Basin Plan objectives; criteria for Se and CN are specified by the NTR.</t>
  </si>
  <si>
    <r>
      <t xml:space="preserve">Chromium (VI) </t>
    </r>
    <r>
      <rPr>
        <vertAlign val="superscript"/>
        <sz val="10"/>
        <rFont val="Arial"/>
        <family val="2"/>
      </rPr>
      <t>b</t>
    </r>
  </si>
  <si>
    <r>
      <t>C (</t>
    </r>
    <r>
      <rPr>
        <sz val="10"/>
        <rFont val="Symbol"/>
        <family val="1"/>
      </rPr>
      <t>m</t>
    </r>
    <r>
      <rPr>
        <i/>
        <sz val="10"/>
        <rFont val="Arial"/>
        <family val="2"/>
      </rPr>
      <t>g/L)</t>
    </r>
  </si>
  <si>
    <r>
      <t xml:space="preserve">Lowest (most stringent) Criteria </t>
    </r>
    <r>
      <rPr>
        <i/>
        <vertAlign val="superscript"/>
        <sz val="10"/>
        <rFont val="Arial"/>
        <family val="2"/>
      </rPr>
      <t>e</t>
    </r>
  </si>
  <si>
    <r>
      <t xml:space="preserve">4-day </t>
    </r>
    <r>
      <rPr>
        <sz val="8"/>
        <rFont val="Arial"/>
        <family val="2"/>
      </rPr>
      <t xml:space="preserve"> </t>
    </r>
  </si>
  <si>
    <t>Effluent Data Available (Y/N)?</t>
  </si>
  <si>
    <t>Are all data points non-detects (Y/N)?</t>
  </si>
  <si>
    <t>Final Result</t>
  </si>
  <si>
    <t>PRIORITY POLLUTANTS</t>
  </si>
  <si>
    <t>Arsenic</t>
  </si>
  <si>
    <t>Basis and Criteria type</t>
  </si>
  <si>
    <t>Lowest WQO</t>
  </si>
  <si>
    <t>Translators</t>
  </si>
  <si>
    <t>Dilution Factor (D) (if applicable)</t>
  </si>
  <si>
    <t>HH criteria analysis required? (Y/N)</t>
  </si>
  <si>
    <t>Applicable Acute WQO</t>
  </si>
  <si>
    <t>Applicable Chronic WQO</t>
  </si>
  <si>
    <t>HH criteria</t>
  </si>
  <si>
    <t>Background (avg conc for HH calc)</t>
  </si>
  <si>
    <t>Is the pollutant Bioaccumulative(Y/N)? (e.g., Hg)</t>
  </si>
  <si>
    <t>ECA acute</t>
  </si>
  <si>
    <t>ECA chronic</t>
  </si>
  <si>
    <t>ECA HH</t>
  </si>
  <si>
    <t>CV calculated</t>
  </si>
  <si>
    <t>CV (Selected) - Final</t>
  </si>
  <si>
    <t>ECA acute mult99</t>
  </si>
  <si>
    <t>ECA chronic mult99</t>
  </si>
  <si>
    <t>LTA acute</t>
  </si>
  <si>
    <t>LTA chronic</t>
  </si>
  <si>
    <t>minimum of LTAs</t>
  </si>
  <si>
    <t>AMEL mult95</t>
  </si>
  <si>
    <t>MDEL mult99</t>
  </si>
  <si>
    <t>AMEL (aq life)</t>
  </si>
  <si>
    <t>MDEL(aq life)</t>
  </si>
  <si>
    <t xml:space="preserve">MDEL/AMEL Multiplier </t>
  </si>
  <si>
    <t>AMEL (human hlth)</t>
  </si>
  <si>
    <t>MDEL (human hlth)</t>
  </si>
  <si>
    <t>minimum of AMEL for Aq. life vs HH</t>
  </si>
  <si>
    <t>minimum of MDEL for Aq. Life vs HH</t>
  </si>
  <si>
    <t>Lowest (most stringent) Criteria (Enter "No Criteria" for no criteria)</t>
  </si>
  <si>
    <t>Is it a RB2 facility (Y/N)?</t>
  </si>
  <si>
    <t>Hardness (mg/L CaCO3)</t>
  </si>
  <si>
    <t>pH (s.u.)</t>
  </si>
  <si>
    <t>Note: Numbers in blue have formula in the cells - calculates values automatically</t>
  </si>
  <si>
    <t>Freshwater                       (from Table 3-4)</t>
  </si>
  <si>
    <t>Human Health for consumption of:</t>
  </si>
  <si>
    <t># in CTR</t>
  </si>
  <si>
    <t>Shallow Water</t>
  </si>
  <si>
    <t>CMC (acute)</t>
  </si>
  <si>
    <t>CCC (chronic)</t>
  </si>
  <si>
    <t>Water &amp; organisms</t>
  </si>
  <si>
    <t>ma</t>
  </si>
  <si>
    <t>ba</t>
  </si>
  <si>
    <t>mc</t>
  </si>
  <si>
    <t>bc</t>
  </si>
  <si>
    <t>ug/L</t>
  </si>
  <si>
    <t>Beryllium</t>
  </si>
  <si>
    <t>Cadmium</t>
  </si>
  <si>
    <t xml:space="preserve">Copper </t>
  </si>
  <si>
    <t>Lead</t>
  </si>
  <si>
    <t>Mercury</t>
  </si>
  <si>
    <t>Nickel</t>
  </si>
  <si>
    <t>Selenium</t>
  </si>
  <si>
    <t>Silver</t>
  </si>
  <si>
    <t>Zinc</t>
  </si>
  <si>
    <t>Cyanide</t>
  </si>
  <si>
    <t>Chlordibromomethane</t>
  </si>
  <si>
    <t>2-Chloroethylvinyl Ether</t>
  </si>
  <si>
    <t>Chlorophenol</t>
  </si>
  <si>
    <t>2-Methyl-4,6-Dinitrophenol</t>
  </si>
  <si>
    <t>3-Methyl-4-Chlorophenol</t>
  </si>
  <si>
    <t>Acenephthylene</t>
  </si>
  <si>
    <t>3,3'-Dichlorobenzidine</t>
  </si>
  <si>
    <t>Indeno(1,2,3-cd) Pyrene</t>
  </si>
  <si>
    <t>naphthalene</t>
  </si>
  <si>
    <t>Chlordane</t>
  </si>
  <si>
    <t>4,4-DDT</t>
  </si>
  <si>
    <t>4,4-DDE</t>
  </si>
  <si>
    <t>4,4-DDD</t>
  </si>
  <si>
    <t>Dieldrin</t>
  </si>
  <si>
    <t>beta-Endosulfan</t>
  </si>
  <si>
    <t>Heptchlor Epoxide</t>
  </si>
  <si>
    <t>119-125</t>
  </si>
  <si>
    <t>PCBs sum (2)</t>
  </si>
  <si>
    <t>Tributyltin</t>
  </si>
  <si>
    <t>Notes:</t>
  </si>
  <si>
    <t>(1)</t>
  </si>
  <si>
    <t>(2)</t>
  </si>
  <si>
    <t xml:space="preserve">PCBs sum refers to sum of PCB 1016, 1221, 1232, 1242, 1248, 1254, and 1260 </t>
  </si>
  <si>
    <t>For Cd, Cr(III), Cu, Pb, Ni, Ag, Zn - not applicable to Se</t>
  </si>
  <si>
    <t>Factors for Metals Freshwater Criteria Calculation</t>
  </si>
  <si>
    <t>Reason</t>
  </si>
  <si>
    <t>Copper</t>
  </si>
  <si>
    <t>If all data points are ND and MinDL&gt;C, interim monitoring is required</t>
  </si>
  <si>
    <t xml:space="preserve">      (MEC= deteted max value; if all ND &amp; MDL&lt;C then MEC = MDL)</t>
  </si>
  <si>
    <t>Maximum Pollutant Concentration from the effluent (MEC) (ug/L)</t>
  </si>
  <si>
    <t>If all data points ND Enter the min detection limit (MDL) (ug/L)</t>
  </si>
  <si>
    <t>Enter the pollutant effluent detected max conc (ug/L)</t>
  </si>
  <si>
    <t>MEC vs. C</t>
  </si>
  <si>
    <t xml:space="preserve">1. If MEC&gt; or =C, effluent limitation is required; 2. If MEC&lt;C, go to Step 5 </t>
  </si>
  <si>
    <t>B vs. C</t>
  </si>
  <si>
    <t>If B&gt;C, effluent limitation is required</t>
  </si>
  <si>
    <t>Steps 7 &amp; 8</t>
  </si>
  <si>
    <t xml:space="preserve">7) Review other information in the SIP page 4.  If information is unavailable or insufficient: 8) the RWQCB shall establish interim monitoring requirements. </t>
  </si>
  <si>
    <t>RPA Result</t>
  </si>
  <si>
    <t>Input Check</t>
  </si>
  <si>
    <t>Tributylin</t>
  </si>
  <si>
    <t>B Available (Y/N)?</t>
  </si>
  <si>
    <t>Are all B non-detects (Y/N)?</t>
  </si>
  <si>
    <t>Enter the Detected Maximum Background Conc</t>
  </si>
  <si>
    <t>EFFLUENT  DATA</t>
  </si>
  <si>
    <t>BACKGROUND  DATA (B)</t>
  </si>
  <si>
    <t>Are all B data points non-detects (Y/N)?</t>
  </si>
  <si>
    <t>Enter the pollutant B detected max conc (ug/L)</t>
  </si>
  <si>
    <t>If all B is ND, is MDL&gt;C?</t>
  </si>
  <si>
    <t>Max Effl Conc (MEC)</t>
  </si>
  <si>
    <t xml:space="preserve">Arsenic </t>
  </si>
  <si>
    <t xml:space="preserve">Cadmium  </t>
  </si>
  <si>
    <t xml:space="preserve">Lead </t>
  </si>
  <si>
    <t xml:space="preserve">Mercury </t>
  </si>
  <si>
    <t xml:space="preserve">Nickel </t>
  </si>
  <si>
    <t xml:space="preserve">Silver </t>
  </si>
  <si>
    <t xml:space="preserve">Zinc </t>
  </si>
  <si>
    <t xml:space="preserve">Cyanide </t>
  </si>
  <si>
    <t xml:space="preserve">Chlordane </t>
  </si>
  <si>
    <t xml:space="preserve">4,4'-DDT </t>
  </si>
  <si>
    <t xml:space="preserve">PCBs sum </t>
  </si>
  <si>
    <t xml:space="preserve">    The freshwater criteria for Selenium is taken from NTR.   </t>
  </si>
  <si>
    <t>Date</t>
  </si>
  <si>
    <t>Se</t>
  </si>
  <si>
    <t>&lt;</t>
  </si>
  <si>
    <t>for CV calc</t>
  </si>
  <si>
    <t>Aquatic life criteria analysis required? (Y/N)</t>
  </si>
  <si>
    <t>CTR SW</t>
  </si>
  <si>
    <t>No. of data points &lt;10 or at least 80% of data reported non detect? (Y/N)</t>
  </si>
  <si>
    <t>Ud: Cannot determine reasonable potential due to the absence of data, or because Minimum DL is greater than water quality objective or CTR criteria</t>
  </si>
  <si>
    <t>PCBs sum (3)</t>
  </si>
  <si>
    <t>No</t>
  </si>
  <si>
    <t>Site-Specific Translators</t>
  </si>
  <si>
    <t>Acute</t>
  </si>
  <si>
    <t>Chronic</t>
  </si>
  <si>
    <t>Cu</t>
  </si>
  <si>
    <t>Ni</t>
  </si>
  <si>
    <t>CN</t>
  </si>
  <si>
    <t>ug/l</t>
  </si>
  <si>
    <t>TCDD TEQ</t>
  </si>
  <si>
    <t>CTR,hh</t>
  </si>
  <si>
    <t>Saltwater                      (from Table 3-3)</t>
  </si>
  <si>
    <t>Total PAHs</t>
  </si>
  <si>
    <t>TCDD TEQ (303d listed)</t>
  </si>
  <si>
    <t>Chromium (VI)</t>
  </si>
  <si>
    <t>1,2 Dichlorobenzene</t>
  </si>
  <si>
    <t>1,3 Dichlorobenzene</t>
  </si>
  <si>
    <t>1,4 Dichlorobenzene</t>
  </si>
  <si>
    <t>119 -125</t>
  </si>
  <si>
    <t>PCBs</t>
  </si>
  <si>
    <t># CTR</t>
  </si>
  <si>
    <t>Pollutant</t>
  </si>
  <si>
    <t>Chromium (total)</t>
  </si>
  <si>
    <t xml:space="preserve"> 2/2</t>
  </si>
  <si>
    <t>Aluminum (ug/L)</t>
  </si>
  <si>
    <t>pH</t>
  </si>
  <si>
    <r>
      <t xml:space="preserve">Copper </t>
    </r>
    <r>
      <rPr>
        <vertAlign val="superscript"/>
        <sz val="10"/>
        <rFont val="Arial"/>
        <family val="2"/>
      </rPr>
      <t xml:space="preserve">c  </t>
    </r>
  </si>
  <si>
    <t xml:space="preserve">c. Criteria for copper is taken from CTR.  CTR criteria for copper is expressed as dissolved metal.  The copper criterion in the table is adjusted by dividing a factor of 0.83 to convert the dissolved to total metal concentration. </t>
  </si>
  <si>
    <t>EFFLUENT DATA</t>
  </si>
  <si>
    <t>RECEIVING WATER DATA</t>
  </si>
  <si>
    <t>Chromium (III) or total</t>
  </si>
  <si>
    <t xml:space="preserve">Chromium (VI) </t>
  </si>
  <si>
    <t>MEC &lt; C and B &lt; C</t>
  </si>
  <si>
    <t>South Bay south of Dumbarton Bridge</t>
  </si>
  <si>
    <t>MAX</t>
  </si>
  <si>
    <t>Pb</t>
  </si>
  <si>
    <t># Data points</t>
  </si>
  <si>
    <t>ND</t>
  </si>
  <si>
    <t>% censoring</t>
  </si>
  <si>
    <t>avg</t>
  </si>
  <si>
    <t>stdev</t>
  </si>
  <si>
    <t>E320</t>
  </si>
  <si>
    <t>CTR HH (pg/l)</t>
  </si>
  <si>
    <t>no. of samples per month</t>
  </si>
  <si>
    <t>Background (max conc for Aquatic Life calc)</t>
  </si>
  <si>
    <t>avg of data points</t>
  </si>
  <si>
    <t>SD</t>
  </si>
  <si>
    <t>Current limit in permit (30-d avg)</t>
  </si>
  <si>
    <t>N/A</t>
  </si>
  <si>
    <t>Current limits in permit (daily)</t>
  </si>
  <si>
    <t>Final limit - Calculated AMEL</t>
  </si>
  <si>
    <t>Final limit - Calculated MDEL</t>
  </si>
  <si>
    <t>Feasible for immediate compliance?</t>
  </si>
  <si>
    <t>Interim Limits for those where TMDL is final limit</t>
  </si>
  <si>
    <t>Note: units are in ug/L except for Dioxin, which is in pg/L.</t>
  </si>
  <si>
    <t>min</t>
  </si>
  <si>
    <t>max</t>
  </si>
  <si>
    <t>Receiving body: Plummer Creek minimum hardness = 400 mg/L as CaCO3 (most values greater than 400 mg/L)</t>
  </si>
  <si>
    <t>Basin Plan SSO</t>
  </si>
  <si>
    <t>acute</t>
  </si>
  <si>
    <t>chronic</t>
  </si>
  <si>
    <t>Zn</t>
  </si>
  <si>
    <t>CTR HH</t>
  </si>
  <si>
    <t>J</t>
  </si>
  <si>
    <t>Phenol (mg/L)</t>
  </si>
  <si>
    <t>0.0050/0.0051</t>
  </si>
  <si>
    <t>0.0011/0.0018</t>
  </si>
  <si>
    <t>2,3,7,8-TCDD</t>
  </si>
  <si>
    <t>NA</t>
  </si>
  <si>
    <t>BP, SSO</t>
  </si>
  <si>
    <t>95th</t>
  </si>
  <si>
    <t>99th</t>
  </si>
  <si>
    <t>mean</t>
  </si>
  <si>
    <t>logistic</t>
  </si>
  <si>
    <t>Lognormal</t>
  </si>
  <si>
    <t>lognormal</t>
  </si>
  <si>
    <t>Distribution fit</t>
  </si>
  <si>
    <t>99.87th</t>
  </si>
  <si>
    <t>Dioxin-TEQ</t>
  </si>
  <si>
    <t>CTR FW</t>
  </si>
  <si>
    <t>Bis(2-Ethylhexyl)
Phthalate</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</si>
</sst>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
    <numFmt numFmtId="167" formatCode="#,##0.000"/>
    <numFmt numFmtId="168" formatCode="0.000000000"/>
    <numFmt numFmtId="169" formatCode="#,##0.000000000"/>
    <numFmt numFmtId="170" formatCode="0.00000"/>
    <numFmt numFmtId="171" formatCode="#,##0.00000"/>
    <numFmt numFmtId="172" formatCode="#,##0.0000"/>
    <numFmt numFmtId="173" formatCode="0.0000"/>
    <numFmt numFmtId="174" formatCode="0.000000"/>
    <numFmt numFmtId="175" formatCode="0.00000000000000"/>
    <numFmt numFmtId="176" formatCode="0.000000000E+00"/>
    <numFmt numFmtId="177" formatCode="0.00_)"/>
    <numFmt numFmtId="178" formatCode="0_)"/>
    <numFmt numFmtId="179" formatCode="General_)"/>
    <numFmt numFmtId="180" formatCode="0.0_)"/>
    <numFmt numFmtId="181" formatCode="0.000_)"/>
    <numFmt numFmtId="182" formatCode="0.0%"/>
    <numFmt numFmtId="183" formatCode="##.0"/>
    <numFmt numFmtId="184" formatCode="##"/>
    <numFmt numFmtId="185" formatCode="0.0000000"/>
    <numFmt numFmtId="186" formatCode="##.00"/>
    <numFmt numFmtId="187" formatCode="#,##0.0_);[Red]\(#,##0.0\)"/>
    <numFmt numFmtId="188" formatCode="0.0000_)"/>
    <numFmt numFmtId="189" formatCode="0.00000_)"/>
    <numFmt numFmtId="190" formatCode="dd\-mmm\-yy_)"/>
    <numFmt numFmtId="191" formatCode="&quot;$&quot;#,##0"/>
    <numFmt numFmtId="192" formatCode="&quot;$&quot;#,##0.0_);[Red]\(&quot;$&quot;#,##0.0\)"/>
    <numFmt numFmtId="193" formatCode="0.00000000"/>
    <numFmt numFmtId="194" formatCode="0.0000000000"/>
    <numFmt numFmtId="195" formatCode="&quot;Yes&quot;;&quot;Yes&quot;;&quot;No&quot;"/>
    <numFmt numFmtId="196" formatCode="&quot;True&quot;;&quot;True&quot;;&quot;False&quot;"/>
    <numFmt numFmtId="197" formatCode="&quot;On&quot;;&quot;On&quot;;&quot;Off&quot;"/>
    <numFmt numFmtId="198" formatCode="0.00000000E+00"/>
    <numFmt numFmtId="199" formatCode="0;\-0;;@"/>
    <numFmt numFmtId="200" formatCode="0.000E+00"/>
    <numFmt numFmtId="201" formatCode="0.0E+00"/>
    <numFmt numFmtId="202" formatCode="_(* #,##0.000_);_(* \(#,##0.000\);_(* &quot;-&quot;??_);_(@_)"/>
    <numFmt numFmtId="203" formatCode="_(* #,##0.0_);_(* \(#,##0.0\);_(* &quot;-&quot;??_);_(@_)"/>
    <numFmt numFmtId="204" formatCode="_(* #,##0.0000_);_(* \(#,##0.0000\);_(* &quot;-&quot;??_);_(@_)"/>
    <numFmt numFmtId="205" formatCode="_(* #,##0.00000_);_(* \(#,##0.00000\);_(* &quot;-&quot;??_);_(@_)"/>
    <numFmt numFmtId="206" formatCode="_(* #,##0.000000_);_(* \(#,##0.000000\);_(* &quot;-&quot;??_);_(@_)"/>
    <numFmt numFmtId="207" formatCode="_(* #,##0.0000000_);_(* \(#,##0.0000000\);_(* &quot;-&quot;??_);_(@_)"/>
    <numFmt numFmtId="208" formatCode="_(* #,##0.00000000_);_(* \(#,##0.00000000\);_(* &quot;-&quot;??_);_(@_)"/>
    <numFmt numFmtId="209" formatCode="_(* #,##0_);_(* \(#,##0\);_(* &quot;-&quot;??_);_(@_)"/>
    <numFmt numFmtId="210" formatCode="_(* #,##0.000000000_);_(* \(#,##0.000000000\);_(* &quot;-&quot;??_);_(@_)"/>
    <numFmt numFmtId="211" formatCode="mm/dd/yy"/>
    <numFmt numFmtId="212" formatCode="0.00000000000"/>
    <numFmt numFmtId="213" formatCode="0.000000000000"/>
    <numFmt numFmtId="214" formatCode="0.0000000000000"/>
    <numFmt numFmtId="215" formatCode="0.000000000000000"/>
    <numFmt numFmtId="216" formatCode="0.0000000000000000"/>
    <numFmt numFmtId="217" formatCode="0.00000000000000000"/>
    <numFmt numFmtId="218" formatCode="0.000000000000000000"/>
    <numFmt numFmtId="219" formatCode="0.0000E+00"/>
    <numFmt numFmtId="220" formatCode="m/d"/>
    <numFmt numFmtId="221" formatCode="mmm\-yyyy"/>
    <numFmt numFmtId="222" formatCode="d"/>
    <numFmt numFmtId="223" formatCode="mmmmm"/>
    <numFmt numFmtId="224" formatCode="mmmmm\-yy"/>
    <numFmt numFmtId="225" formatCode="&quot;$&quot;#,##0.00"/>
    <numFmt numFmtId="226" formatCode="m/d/yy"/>
  </numFmts>
  <fonts count="38">
    <font>
      <sz val="10"/>
      <name val="Arial"/>
      <family val="0"/>
    </font>
    <font>
      <u val="single"/>
      <sz val="10"/>
      <color indexed="36"/>
      <name val="Arial"/>
      <family val="0"/>
    </font>
    <font>
      <u val="single"/>
      <sz val="10"/>
      <color indexed="12"/>
      <name val="Arial"/>
      <family val="0"/>
    </font>
    <font>
      <sz val="10"/>
      <name val="Geneva"/>
      <family val="0"/>
    </font>
    <font>
      <b/>
      <sz val="10"/>
      <name val="Arial"/>
      <family val="2"/>
    </font>
    <font>
      <b/>
      <sz val="12"/>
      <name val="Arial"/>
      <family val="2"/>
    </font>
    <font>
      <i/>
      <sz val="10"/>
      <color indexed="8"/>
      <name val="Arial"/>
      <family val="2"/>
    </font>
    <font>
      <i/>
      <sz val="10"/>
      <name val="Arial"/>
      <family val="2"/>
    </font>
    <font>
      <b/>
      <sz val="8"/>
      <name val="Arial"/>
      <family val="2"/>
    </font>
    <font>
      <sz val="10"/>
      <name val="Symbol"/>
      <family val="1"/>
    </font>
    <font>
      <i/>
      <vertAlign val="superscript"/>
      <sz val="10"/>
      <name val="Arial"/>
      <family val="2"/>
    </font>
    <font>
      <sz val="8"/>
      <name val="Arial"/>
      <family val="2"/>
    </font>
    <font>
      <sz val="9"/>
      <name val="Arial"/>
      <family val="2"/>
    </font>
    <font>
      <vertAlign val="superscript"/>
      <sz val="10"/>
      <name val="Arial"/>
      <family val="2"/>
    </font>
    <font>
      <sz val="8"/>
      <name val="Tahoma"/>
      <family val="0"/>
    </font>
    <font>
      <b/>
      <sz val="8"/>
      <name val="Tahoma"/>
      <family val="0"/>
    </font>
    <font>
      <sz val="8"/>
      <color indexed="48"/>
      <name val="Arial"/>
      <family val="2"/>
    </font>
    <font>
      <sz val="10"/>
      <color indexed="10"/>
      <name val="Arial"/>
      <family val="2"/>
    </font>
    <font>
      <i/>
      <sz val="8"/>
      <name val="Arial"/>
      <family val="2"/>
    </font>
    <font>
      <i/>
      <sz val="8"/>
      <color indexed="8"/>
      <name val="Arial"/>
      <family val="2"/>
    </font>
    <font>
      <b/>
      <sz val="10"/>
      <color indexed="10"/>
      <name val="Arial"/>
      <family val="2"/>
    </font>
    <font>
      <b/>
      <sz val="10"/>
      <color indexed="17"/>
      <name val="Arial"/>
      <family val="2"/>
    </font>
    <font>
      <sz val="10"/>
      <color indexed="53"/>
      <name val="Arial"/>
      <family val="2"/>
    </font>
    <font>
      <sz val="8"/>
      <color indexed="12"/>
      <name val="Arial"/>
      <family val="2"/>
    </font>
    <font>
      <sz val="10"/>
      <color indexed="8"/>
      <name val="Arial"/>
      <family val="2"/>
    </font>
    <font>
      <b/>
      <sz val="10"/>
      <color indexed="8"/>
      <name val="Arial"/>
      <family val="2"/>
    </font>
    <font>
      <sz val="8"/>
      <color indexed="53"/>
      <name val="Arial"/>
      <family val="2"/>
    </font>
    <font>
      <sz val="9"/>
      <color indexed="10"/>
      <name val="Arial"/>
      <family val="2"/>
    </font>
    <font>
      <b/>
      <sz val="9"/>
      <name val="Arial"/>
      <family val="2"/>
    </font>
    <font>
      <sz val="12"/>
      <name val="Arial"/>
      <family val="2"/>
    </font>
    <font>
      <sz val="12"/>
      <color indexed="8"/>
      <name val="Arial"/>
      <family val="2"/>
    </font>
    <font>
      <sz val="12"/>
      <color indexed="10"/>
      <name val="Arial"/>
      <family val="2"/>
    </font>
    <font>
      <b/>
      <sz val="12"/>
      <color indexed="8"/>
      <name val="Arial"/>
      <family val="2"/>
    </font>
    <font>
      <b/>
      <sz val="12"/>
      <color indexed="10"/>
      <name val="Arial"/>
      <family val="2"/>
    </font>
    <font>
      <sz val="12"/>
      <name val="Times New Roman"/>
      <family val="1"/>
    </font>
    <font>
      <b/>
      <sz val="12"/>
      <name val="Times New Roman"/>
      <family val="1"/>
    </font>
    <font>
      <sz val="10"/>
      <color indexed="48"/>
      <name val="Arial"/>
      <family val="2"/>
    </font>
    <font>
      <sz val="10"/>
      <color indexed="12"/>
      <name val="Arial"/>
      <family val="2"/>
    </font>
  </fonts>
  <fills count="11">
    <fill>
      <patternFill/>
    </fill>
    <fill>
      <patternFill patternType="gray125"/>
    </fill>
    <fill>
      <patternFill patternType="solid">
        <fgColor indexed="13"/>
        <bgColor indexed="64"/>
      </patternFill>
    </fill>
    <fill>
      <patternFill patternType="solid">
        <fgColor indexed="6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31"/>
        <bgColor indexed="64"/>
      </patternFill>
    </fill>
  </fills>
  <borders count="89">
    <border>
      <left/>
      <right/>
      <top/>
      <bottom/>
      <diagonal/>
    </border>
    <border>
      <left>
        <color indexed="63"/>
      </left>
      <right style="thin"/>
      <top style="medium"/>
      <bottom>
        <color indexed="63"/>
      </bottom>
    </border>
    <border>
      <left style="double"/>
      <right style="thin"/>
      <top style="double"/>
      <bottom style="thin"/>
    </border>
    <border>
      <left style="thin"/>
      <right>
        <color indexed="63"/>
      </right>
      <top style="double"/>
      <bottom style="thin"/>
    </border>
    <border>
      <left style="thin"/>
      <right style="double"/>
      <top>
        <color indexed="63"/>
      </top>
      <bottom style="thin"/>
    </border>
    <border>
      <left style="double"/>
      <right style="thin"/>
      <top style="thin"/>
      <bottom style="thin"/>
    </border>
    <border>
      <left style="thin"/>
      <right>
        <color indexed="63"/>
      </right>
      <top style="thin"/>
      <bottom style="thin"/>
    </border>
    <border>
      <left style="thin"/>
      <right style="double"/>
      <top style="thin"/>
      <bottom style="thin"/>
    </border>
    <border>
      <left style="thin"/>
      <right style="thin"/>
      <top style="thin"/>
      <bottom style="thin"/>
    </border>
    <border>
      <left style="double"/>
      <right style="thin"/>
      <top style="thin"/>
      <bottom>
        <color indexed="63"/>
      </bottom>
    </border>
    <border>
      <left style="thin"/>
      <right>
        <color indexed="63"/>
      </right>
      <top style="thin"/>
      <bottom>
        <color indexed="63"/>
      </bottom>
    </border>
    <border>
      <left style="thin"/>
      <right style="thin"/>
      <top style="medium"/>
      <bottom>
        <color indexed="63"/>
      </bottom>
    </border>
    <border>
      <left style="medium"/>
      <right>
        <color indexed="63"/>
      </right>
      <top style="medium"/>
      <bottom style="double"/>
    </border>
    <border>
      <left>
        <color indexed="63"/>
      </left>
      <right>
        <color indexed="63"/>
      </right>
      <top style="medium"/>
      <bottom style="double"/>
    </border>
    <border>
      <left style="medium"/>
      <right>
        <color indexed="63"/>
      </right>
      <top>
        <color indexed="63"/>
      </top>
      <bottom>
        <color indexed="63"/>
      </bottom>
    </border>
    <border>
      <left style="double"/>
      <right style="thin"/>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style="double"/>
      <top style="thin"/>
      <bottom style="medium"/>
    </border>
    <border>
      <left style="medium"/>
      <right>
        <color indexed="63"/>
      </right>
      <top style="medium"/>
      <bottom style="medium"/>
    </border>
    <border>
      <left>
        <color indexed="63"/>
      </left>
      <right>
        <color indexed="63"/>
      </right>
      <top style="medium"/>
      <bottom style="medium"/>
    </border>
    <border>
      <left style="double"/>
      <right style="double"/>
      <top style="medium"/>
      <bottom style="medium"/>
    </border>
    <border>
      <left style="double"/>
      <right style="thin"/>
      <top style="medium"/>
      <bottom style="medium"/>
    </border>
    <border>
      <left>
        <color indexed="63"/>
      </left>
      <right style="thin"/>
      <top style="medium"/>
      <bottom style="medium"/>
    </border>
    <border>
      <left style="thin"/>
      <right style="thin"/>
      <top style="medium"/>
      <bottom style="medium"/>
    </border>
    <border>
      <left style="thin"/>
      <right style="double"/>
      <top style="medium"/>
      <bottom style="medium"/>
    </border>
    <border>
      <left style="double"/>
      <right style="thin"/>
      <top>
        <color indexed="63"/>
      </top>
      <bottom style="thin"/>
    </border>
    <border>
      <left style="thin"/>
      <right style="thin"/>
      <top>
        <color indexed="63"/>
      </top>
      <bottom style="thin"/>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style="double"/>
      <right style="double"/>
      <top>
        <color indexed="63"/>
      </top>
      <bottom style="thin"/>
    </border>
    <border>
      <left style="thin"/>
      <right style="thin"/>
      <top style="medium"/>
      <bottom style="thin"/>
    </border>
    <border>
      <left style="double"/>
      <right style="double"/>
      <top style="medium"/>
      <bottom style="thin"/>
    </border>
    <border>
      <left style="double"/>
      <right style="double"/>
      <top>
        <color indexed="63"/>
      </top>
      <bottom style="medium"/>
    </border>
    <border>
      <left style="thin"/>
      <right style="thin"/>
      <top>
        <color indexed="63"/>
      </top>
      <bottom style="medium"/>
    </border>
    <border>
      <left>
        <color indexed="63"/>
      </left>
      <right style="thin"/>
      <top>
        <color indexed="63"/>
      </top>
      <bottom style="medium"/>
    </border>
    <border>
      <left>
        <color indexed="63"/>
      </left>
      <right style="thin"/>
      <top style="thin"/>
      <bottom style="thin"/>
    </border>
    <border>
      <left style="thin"/>
      <right style="thin"/>
      <top style="thin"/>
      <bottom>
        <color indexed="63"/>
      </bottom>
    </border>
    <border>
      <left>
        <color indexed="63"/>
      </left>
      <right style="double"/>
      <top>
        <color indexed="63"/>
      </top>
      <bottom style="thin"/>
    </border>
    <border>
      <left style="thin"/>
      <right>
        <color indexed="63"/>
      </right>
      <top>
        <color indexed="63"/>
      </top>
      <bottom style="thin"/>
    </border>
    <border>
      <left style="thin"/>
      <right style="thin"/>
      <top>
        <color indexed="63"/>
      </top>
      <bottom>
        <color indexed="63"/>
      </bottom>
    </border>
    <border>
      <left style="thin"/>
      <right style="thin"/>
      <top style="double"/>
      <bottom>
        <color indexed="63"/>
      </bottom>
    </border>
    <border>
      <left>
        <color indexed="63"/>
      </left>
      <right style="thin"/>
      <top style="double"/>
      <bottom style="medium"/>
    </border>
    <border>
      <left style="thin"/>
      <right>
        <color indexed="63"/>
      </right>
      <top style="double"/>
      <bottom style="medium"/>
    </border>
    <border>
      <left>
        <color indexed="63"/>
      </left>
      <right>
        <color indexed="63"/>
      </right>
      <top style="double"/>
      <bottom style="medium"/>
    </border>
    <border>
      <left>
        <color indexed="63"/>
      </left>
      <right style="thin"/>
      <top style="medium"/>
      <bottom style="thin"/>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color indexed="63"/>
      </right>
      <top style="thin"/>
      <bottom style="mediu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medium"/>
      <top style="medium"/>
      <bottom style="medium"/>
    </border>
    <border>
      <left style="thin"/>
      <right>
        <color indexed="63"/>
      </right>
      <top style="medium"/>
      <bottom style="mediu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style="double"/>
      <top style="double"/>
      <bottom style="thin"/>
    </border>
    <border>
      <left style="thin"/>
      <right>
        <color indexed="63"/>
      </right>
      <top style="medium"/>
      <bottom>
        <color indexed="63"/>
      </bottom>
    </border>
    <border>
      <left style="thin"/>
      <right>
        <color indexed="63"/>
      </right>
      <top>
        <color indexed="63"/>
      </top>
      <bottom style="medium"/>
    </border>
    <border>
      <left>
        <color indexed="63"/>
      </left>
      <right style="double"/>
      <top style="double"/>
      <bottom>
        <color indexed="63"/>
      </bottom>
    </border>
    <border>
      <left style="double"/>
      <right style="thin"/>
      <top style="double"/>
      <bottom style="medium"/>
    </border>
    <border>
      <left>
        <color indexed="63"/>
      </left>
      <right style="medium"/>
      <top style="double"/>
      <bottom style="medium"/>
    </border>
    <border>
      <left style="thin"/>
      <right style="double"/>
      <top style="thin"/>
      <bottom>
        <color indexed="63"/>
      </bottom>
    </border>
    <border>
      <left style="double"/>
      <right style="double"/>
      <top style="thin"/>
      <bottom style="thin"/>
    </border>
    <border>
      <left style="double"/>
      <right style="double"/>
      <top style="thin"/>
      <bottom style="medium"/>
    </border>
    <border>
      <left>
        <color indexed="63"/>
      </left>
      <right style="thin"/>
      <top>
        <color indexed="63"/>
      </top>
      <bottom>
        <color indexed="63"/>
      </bottom>
    </border>
    <border>
      <left style="double"/>
      <right>
        <color indexed="63"/>
      </right>
      <top style="medium"/>
      <bottom style="double"/>
    </border>
    <border>
      <left style="medium"/>
      <right style="thin"/>
      <top>
        <color indexed="63"/>
      </top>
      <bottom style="medium"/>
    </border>
    <border>
      <left style="double"/>
      <right style="thin"/>
      <top>
        <color indexed="63"/>
      </top>
      <bottom style="medium"/>
    </border>
    <border>
      <left style="thin"/>
      <right style="medium"/>
      <top>
        <color indexed="63"/>
      </top>
      <bottom style="medium"/>
    </border>
    <border>
      <left style="thin"/>
      <right style="double"/>
      <top>
        <color indexed="63"/>
      </top>
      <bottom style="medium"/>
    </border>
    <border>
      <left>
        <color indexed="63"/>
      </left>
      <right style="double"/>
      <top>
        <color indexed="63"/>
      </top>
      <bottom style="medium"/>
    </border>
    <border>
      <left style="thin"/>
      <right style="thin"/>
      <top style="double"/>
      <bottom style="thin"/>
    </border>
    <border>
      <left style="thin"/>
      <right style="thin"/>
      <top style="thin"/>
      <bottom style="double"/>
    </border>
    <border>
      <left>
        <color indexed="63"/>
      </left>
      <right style="double"/>
      <top style="medium"/>
      <bottom style="double"/>
    </border>
    <border>
      <left style="double"/>
      <right>
        <color indexed="63"/>
      </right>
      <top style="double"/>
      <bottom>
        <color indexed="63"/>
      </bottom>
    </border>
    <border>
      <left style="double"/>
      <right>
        <color indexed="63"/>
      </right>
      <top style="double"/>
      <bottom style="thin"/>
    </border>
    <border>
      <left>
        <color indexed="63"/>
      </left>
      <right style="double"/>
      <top style="double"/>
      <bottom style="thin"/>
    </border>
    <border>
      <left style="double"/>
      <right style="double"/>
      <top style="medium"/>
      <bottom>
        <color indexed="63"/>
      </bottom>
    </border>
    <border>
      <left style="double"/>
      <right style="double"/>
      <top>
        <color indexed="63"/>
      </top>
      <bottom>
        <color indexed="63"/>
      </bottom>
    </border>
    <border>
      <left>
        <color indexed="63"/>
      </left>
      <right>
        <color indexed="63"/>
      </right>
      <top style="double"/>
      <bottom style="thin"/>
    </border>
    <border>
      <left>
        <color indexed="63"/>
      </left>
      <right style="medium"/>
      <top style="double"/>
      <bottom style="thin"/>
    </border>
    <border>
      <left>
        <color indexed="63"/>
      </left>
      <right style="thin"/>
      <top style="double"/>
      <bottom style="thin"/>
    </border>
    <border>
      <left style="double"/>
      <right>
        <color indexed="63"/>
      </right>
      <top style="double"/>
      <bottom style="medium"/>
    </border>
    <border>
      <left style="double"/>
      <right style="thin"/>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0" fontId="0" fillId="0" borderId="0">
      <alignment/>
      <protection/>
    </xf>
    <xf numFmtId="9" fontId="0" fillId="0" borderId="0" applyFont="0" applyFill="0" applyBorder="0" applyAlignment="0" applyProtection="0"/>
  </cellStyleXfs>
  <cellXfs count="602">
    <xf numFmtId="0" fontId="0" fillId="0" borderId="0" xfId="0" applyAlignment="1">
      <alignment/>
    </xf>
    <xf numFmtId="0" fontId="0" fillId="0" borderId="0" xfId="0" applyAlignment="1">
      <alignment horizontal="left"/>
    </xf>
    <xf numFmtId="0" fontId="7" fillId="0" borderId="1" xfId="0" applyFont="1" applyBorder="1" applyAlignment="1">
      <alignment horizontal="center" wrapText="1"/>
    </xf>
    <xf numFmtId="0" fontId="0" fillId="0" borderId="2" xfId="0" applyFill="1" applyBorder="1" applyAlignment="1">
      <alignment horizontal="center"/>
    </xf>
    <xf numFmtId="0" fontId="0" fillId="0" borderId="3" xfId="0" applyBorder="1" applyAlignment="1">
      <alignment horizontal="left"/>
    </xf>
    <xf numFmtId="0" fontId="0" fillId="0" borderId="4" xfId="0" applyBorder="1" applyAlignment="1">
      <alignment/>
    </xf>
    <xf numFmtId="0" fontId="0" fillId="0" borderId="0" xfId="0" applyAlignment="1">
      <alignment horizontal="center"/>
    </xf>
    <xf numFmtId="0" fontId="0" fillId="0" borderId="5" xfId="0" applyFill="1" applyBorder="1" applyAlignment="1">
      <alignment horizontal="center"/>
    </xf>
    <xf numFmtId="0" fontId="0" fillId="0" borderId="6" xfId="0" applyBorder="1" applyAlignment="1">
      <alignment horizontal="left"/>
    </xf>
    <xf numFmtId="0" fontId="0" fillId="0" borderId="7" xfId="0" applyBorder="1" applyAlignment="1">
      <alignment/>
    </xf>
    <xf numFmtId="0" fontId="0" fillId="0" borderId="8" xfId="0" applyFont="1" applyBorder="1" applyAlignment="1">
      <alignment horizontal="left"/>
    </xf>
    <xf numFmtId="0" fontId="0" fillId="0" borderId="6" xfId="0" applyFont="1" applyBorder="1" applyAlignment="1">
      <alignment horizontal="left"/>
    </xf>
    <xf numFmtId="0" fontId="0" fillId="0" borderId="0" xfId="0" applyFont="1" applyAlignment="1">
      <alignment/>
    </xf>
    <xf numFmtId="0" fontId="0" fillId="0" borderId="9" xfId="0" applyFill="1" applyBorder="1" applyAlignment="1">
      <alignment horizontal="center"/>
    </xf>
    <xf numFmtId="0" fontId="0" fillId="0" borderId="10" xfId="0" applyFont="1" applyBorder="1" applyAlignment="1">
      <alignment horizontal="left"/>
    </xf>
    <xf numFmtId="0" fontId="0" fillId="0" borderId="8" xfId="0" applyFont="1" applyBorder="1" applyAlignment="1">
      <alignment/>
    </xf>
    <xf numFmtId="0" fontId="0" fillId="0" borderId="7" xfId="0" applyFont="1" applyBorder="1" applyAlignment="1">
      <alignment/>
    </xf>
    <xf numFmtId="0" fontId="0" fillId="0" borderId="0" xfId="0" applyFill="1" applyAlignment="1">
      <alignment/>
    </xf>
    <xf numFmtId="0" fontId="12"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xf>
    <xf numFmtId="0" fontId="0" fillId="0" borderId="0" xfId="0" applyFont="1" applyFill="1" applyAlignment="1">
      <alignment/>
    </xf>
    <xf numFmtId="0" fontId="12" fillId="0" borderId="0" xfId="0" applyFont="1" applyAlignment="1">
      <alignment horizontal="left"/>
    </xf>
    <xf numFmtId="0" fontId="0" fillId="0" borderId="0" xfId="0" applyFont="1" applyAlignment="1">
      <alignment/>
    </xf>
    <xf numFmtId="0" fontId="12" fillId="0" borderId="0" xfId="0" applyFont="1" applyAlignment="1">
      <alignment/>
    </xf>
    <xf numFmtId="0" fontId="12" fillId="0" borderId="0" xfId="0" applyFont="1" applyFill="1" applyBorder="1" applyAlignment="1">
      <alignment horizontal="left"/>
    </xf>
    <xf numFmtId="0" fontId="0" fillId="0" borderId="0" xfId="0" applyFont="1" applyBorder="1" applyAlignment="1">
      <alignment horizontal="center"/>
    </xf>
    <xf numFmtId="0" fontId="0" fillId="0" borderId="0" xfId="0" applyFont="1" applyBorder="1" applyAlignment="1">
      <alignment horizontal="center"/>
    </xf>
    <xf numFmtId="0" fontId="7" fillId="0" borderId="11" xfId="0" applyFont="1" applyBorder="1" applyAlignment="1">
      <alignment horizontal="center" wrapText="1"/>
    </xf>
    <xf numFmtId="0" fontId="11" fillId="0" borderId="8" xfId="0" applyFont="1" applyBorder="1" applyAlignment="1">
      <alignment horizontal="left"/>
    </xf>
    <xf numFmtId="165" fontId="11" fillId="0" borderId="8" xfId="0" applyNumberFormat="1" applyFont="1" applyBorder="1" applyAlignment="1">
      <alignment/>
    </xf>
    <xf numFmtId="0" fontId="4" fillId="0" borderId="0" xfId="0" applyFont="1" applyAlignment="1">
      <alignment/>
    </xf>
    <xf numFmtId="0" fontId="0" fillId="0" borderId="6" xfId="0" applyFont="1" applyFill="1" applyBorder="1" applyAlignment="1">
      <alignment horizontal="left"/>
    </xf>
    <xf numFmtId="0" fontId="0" fillId="0" borderId="6" xfId="0" applyFill="1" applyBorder="1" applyAlignment="1">
      <alignment horizontal="left"/>
    </xf>
    <xf numFmtId="173" fontId="0" fillId="0" borderId="0" xfId="0" applyNumberFormat="1" applyAlignment="1">
      <alignment/>
    </xf>
    <xf numFmtId="0" fontId="17" fillId="0" borderId="0" xfId="0" applyFont="1" applyAlignment="1">
      <alignment/>
    </xf>
    <xf numFmtId="0" fontId="11" fillId="0" borderId="12" xfId="0" applyFont="1" applyBorder="1" applyAlignment="1">
      <alignment/>
    </xf>
    <xf numFmtId="0" fontId="11" fillId="0" borderId="13" xfId="0" applyFont="1" applyBorder="1" applyAlignment="1">
      <alignment/>
    </xf>
    <xf numFmtId="0" fontId="11" fillId="0" borderId="14" xfId="0" applyFont="1" applyBorder="1" applyAlignment="1">
      <alignment horizontal="center" wrapText="1"/>
    </xf>
    <xf numFmtId="0" fontId="11" fillId="0" borderId="0" xfId="0" applyFont="1" applyAlignment="1">
      <alignment horizontal="center" wrapText="1"/>
    </xf>
    <xf numFmtId="0" fontId="0" fillId="0" borderId="0" xfId="0" applyAlignment="1">
      <alignment wrapText="1"/>
    </xf>
    <xf numFmtId="0" fontId="11" fillId="0" borderId="15" xfId="0" applyFont="1" applyBorder="1" applyAlignment="1">
      <alignment horizontal="center" wrapText="1"/>
    </xf>
    <xf numFmtId="0" fontId="11" fillId="0" borderId="16" xfId="0" applyFont="1" applyBorder="1" applyAlignment="1">
      <alignment horizontal="center" wrapText="1"/>
    </xf>
    <xf numFmtId="0" fontId="11" fillId="0" borderId="17" xfId="0" applyFont="1" applyBorder="1" applyAlignment="1">
      <alignment horizontal="center" wrapText="1"/>
    </xf>
    <xf numFmtId="173" fontId="11" fillId="0" borderId="15" xfId="0" applyNumberFormat="1" applyFont="1" applyFill="1" applyBorder="1" applyAlignment="1">
      <alignment horizontal="center" wrapText="1"/>
    </xf>
    <xf numFmtId="173" fontId="11" fillId="0" borderId="18" xfId="0" applyNumberFormat="1" applyFont="1" applyFill="1" applyBorder="1" applyAlignment="1">
      <alignment horizontal="center" wrapText="1"/>
    </xf>
    <xf numFmtId="173" fontId="11" fillId="0" borderId="19" xfId="0" applyNumberFormat="1" applyFont="1" applyFill="1" applyBorder="1" applyAlignment="1">
      <alignment horizontal="center" wrapText="1"/>
    </xf>
    <xf numFmtId="0" fontId="11" fillId="0" borderId="15" xfId="0" applyFont="1" applyFill="1" applyBorder="1" applyAlignment="1">
      <alignment horizontal="center" wrapText="1"/>
    </xf>
    <xf numFmtId="0" fontId="11" fillId="0" borderId="18" xfId="0" applyFont="1" applyFill="1" applyBorder="1" applyAlignment="1">
      <alignment horizontal="center" wrapText="1"/>
    </xf>
    <xf numFmtId="0" fontId="11" fillId="0" borderId="19" xfId="0" applyFont="1" applyFill="1" applyBorder="1" applyAlignment="1">
      <alignment horizontal="center" wrapText="1"/>
    </xf>
    <xf numFmtId="0" fontId="11" fillId="0" borderId="20" xfId="0" applyFont="1" applyBorder="1" applyAlignment="1">
      <alignment horizontal="center" wrapText="1"/>
    </xf>
    <xf numFmtId="0" fontId="8" fillId="0" borderId="21" xfId="0" applyFont="1" applyBorder="1" applyAlignment="1">
      <alignment horizontal="center" wrapText="1"/>
    </xf>
    <xf numFmtId="0" fontId="0" fillId="0" borderId="22" xfId="0" applyBorder="1" applyAlignment="1">
      <alignment horizontal="center"/>
    </xf>
    <xf numFmtId="0" fontId="11" fillId="0" borderId="23" xfId="0" applyFont="1" applyBorder="1" applyAlignment="1">
      <alignment horizontal="center" wrapText="1"/>
    </xf>
    <xf numFmtId="0" fontId="11" fillId="0" borderId="21" xfId="0" applyFont="1" applyBorder="1" applyAlignment="1">
      <alignment horizontal="center" wrapText="1"/>
    </xf>
    <xf numFmtId="0" fontId="11" fillId="0" borderId="24" xfId="0" applyFont="1" applyBorder="1" applyAlignment="1">
      <alignment horizontal="center" wrapText="1"/>
    </xf>
    <xf numFmtId="173" fontId="11" fillId="0" borderId="23" xfId="0" applyNumberFormat="1" applyFont="1" applyFill="1" applyBorder="1" applyAlignment="1">
      <alignment horizontal="center" wrapText="1"/>
    </xf>
    <xf numFmtId="173" fontId="11" fillId="0" borderId="25" xfId="0" applyNumberFormat="1" applyFont="1" applyFill="1" applyBorder="1" applyAlignment="1">
      <alignment horizontal="center" wrapText="1"/>
    </xf>
    <xf numFmtId="173" fontId="11" fillId="0" borderId="26" xfId="0" applyNumberFormat="1" applyFont="1" applyFill="1" applyBorder="1" applyAlignment="1">
      <alignment horizontal="center" wrapText="1"/>
    </xf>
    <xf numFmtId="0" fontId="11" fillId="0" borderId="23" xfId="0" applyFont="1" applyFill="1" applyBorder="1" applyAlignment="1">
      <alignment horizontal="center" wrapText="1"/>
    </xf>
    <xf numFmtId="0" fontId="11" fillId="0" borderId="25" xfId="0" applyFont="1" applyFill="1" applyBorder="1" applyAlignment="1">
      <alignment horizontal="center" wrapText="1"/>
    </xf>
    <xf numFmtId="0" fontId="11" fillId="0" borderId="26" xfId="0" applyFont="1" applyFill="1" applyBorder="1" applyAlignment="1">
      <alignment horizontal="center" wrapText="1"/>
    </xf>
    <xf numFmtId="0" fontId="11" fillId="0" borderId="0" xfId="0" applyFont="1" applyBorder="1" applyAlignment="1">
      <alignment/>
    </xf>
    <xf numFmtId="0" fontId="0" fillId="0" borderId="27" xfId="0" applyBorder="1" applyAlignment="1">
      <alignment/>
    </xf>
    <xf numFmtId="173" fontId="0" fillId="0" borderId="27" xfId="0" applyNumberFormat="1" applyBorder="1" applyAlignment="1">
      <alignment/>
    </xf>
    <xf numFmtId="173" fontId="0" fillId="0" borderId="28" xfId="0" applyNumberFormat="1" applyBorder="1" applyAlignment="1">
      <alignment/>
    </xf>
    <xf numFmtId="173" fontId="0" fillId="0" borderId="4" xfId="0" applyNumberFormat="1" applyBorder="1" applyAlignment="1">
      <alignment/>
    </xf>
    <xf numFmtId="0" fontId="0" fillId="0" borderId="28" xfId="0" applyBorder="1" applyAlignment="1">
      <alignment/>
    </xf>
    <xf numFmtId="1" fontId="11" fillId="0" borderId="14" xfId="0" applyNumberFormat="1" applyFont="1" applyBorder="1" applyAlignment="1">
      <alignment horizontal="right"/>
    </xf>
    <xf numFmtId="0" fontId="0" fillId="0" borderId="5" xfId="0" applyBorder="1" applyAlignment="1">
      <alignment/>
    </xf>
    <xf numFmtId="173" fontId="0" fillId="0" borderId="5" xfId="0" applyNumberFormat="1" applyBorder="1" applyAlignment="1">
      <alignment/>
    </xf>
    <xf numFmtId="173" fontId="0" fillId="0" borderId="8" xfId="0" applyNumberFormat="1" applyBorder="1" applyAlignment="1">
      <alignment/>
    </xf>
    <xf numFmtId="173" fontId="0" fillId="0" borderId="7" xfId="0" applyNumberFormat="1" applyBorder="1" applyAlignment="1">
      <alignment/>
    </xf>
    <xf numFmtId="0" fontId="0" fillId="0" borderId="8" xfId="0" applyBorder="1" applyAlignment="1">
      <alignment/>
    </xf>
    <xf numFmtId="173" fontId="11" fillId="0" borderId="5" xfId="0" applyNumberFormat="1" applyFont="1" applyBorder="1" applyAlignment="1">
      <alignment/>
    </xf>
    <xf numFmtId="173" fontId="11" fillId="0" borderId="8" xfId="0" applyNumberFormat="1" applyFont="1" applyBorder="1" applyAlignment="1">
      <alignment/>
    </xf>
    <xf numFmtId="173" fontId="11" fillId="0" borderId="7" xfId="0" applyNumberFormat="1" applyFont="1" applyBorder="1" applyAlignment="1">
      <alignment/>
    </xf>
    <xf numFmtId="165" fontId="11" fillId="0" borderId="5" xfId="0" applyNumberFormat="1" applyFont="1" applyBorder="1" applyAlignment="1">
      <alignment/>
    </xf>
    <xf numFmtId="0" fontId="11" fillId="0" borderId="8" xfId="0" applyFont="1" applyBorder="1" applyAlignment="1">
      <alignment/>
    </xf>
    <xf numFmtId="0" fontId="11" fillId="0" borderId="7" xfId="0" applyFont="1" applyBorder="1" applyAlignment="1">
      <alignment/>
    </xf>
    <xf numFmtId="0" fontId="11" fillId="0" borderId="5" xfId="0" applyFont="1" applyBorder="1" applyAlignment="1">
      <alignment/>
    </xf>
    <xf numFmtId="0" fontId="11" fillId="0" borderId="0" xfId="0" applyFont="1" applyFill="1" applyBorder="1" applyAlignment="1">
      <alignment/>
    </xf>
    <xf numFmtId="2" fontId="11" fillId="0" borderId="0" xfId="0" applyNumberFormat="1" applyFont="1" applyBorder="1" applyAlignment="1">
      <alignment/>
    </xf>
    <xf numFmtId="0" fontId="0" fillId="0" borderId="5" xfId="0" applyFont="1" applyBorder="1" applyAlignment="1">
      <alignment/>
    </xf>
    <xf numFmtId="173" fontId="0" fillId="0" borderId="5" xfId="0" applyNumberFormat="1" applyFont="1" applyBorder="1" applyAlignment="1">
      <alignment/>
    </xf>
    <xf numFmtId="173" fontId="0" fillId="0" borderId="8" xfId="0" applyNumberFormat="1" applyFont="1" applyBorder="1" applyAlignment="1">
      <alignment/>
    </xf>
    <xf numFmtId="173" fontId="0" fillId="0" borderId="7" xfId="0" applyNumberFormat="1" applyFont="1" applyBorder="1" applyAlignment="1">
      <alignment/>
    </xf>
    <xf numFmtId="0" fontId="11" fillId="0" borderId="0" xfId="0" applyFont="1" applyAlignment="1">
      <alignment/>
    </xf>
    <xf numFmtId="0" fontId="11" fillId="0" borderId="29" xfId="0" applyFont="1" applyBorder="1" applyAlignment="1">
      <alignment/>
    </xf>
    <xf numFmtId="0" fontId="0" fillId="0" borderId="0" xfId="0" applyFont="1" applyBorder="1" applyAlignment="1">
      <alignment horizontal="left"/>
    </xf>
    <xf numFmtId="0" fontId="0" fillId="0" borderId="30" xfId="0" applyFont="1" applyBorder="1" applyAlignment="1">
      <alignment/>
    </xf>
    <xf numFmtId="0" fontId="0" fillId="0" borderId="0" xfId="0" applyFont="1" applyBorder="1" applyAlignment="1">
      <alignment/>
    </xf>
    <xf numFmtId="0" fontId="11" fillId="0" borderId="0" xfId="0" applyFont="1" applyAlignment="1" quotePrefix="1">
      <alignment/>
    </xf>
    <xf numFmtId="49" fontId="11" fillId="0" borderId="0" xfId="0" applyNumberFormat="1" applyFont="1" applyAlignment="1">
      <alignment/>
    </xf>
    <xf numFmtId="0" fontId="0" fillId="0" borderId="31" xfId="0" applyFont="1" applyBorder="1" applyAlignment="1">
      <alignment/>
    </xf>
    <xf numFmtId="0" fontId="8" fillId="0" borderId="0" xfId="0" applyFont="1" applyAlignment="1">
      <alignment/>
    </xf>
    <xf numFmtId="2" fontId="0" fillId="0" borderId="0" xfId="0" applyNumberFormat="1" applyFont="1" applyBorder="1" applyAlignment="1">
      <alignment/>
    </xf>
    <xf numFmtId="2" fontId="0" fillId="0" borderId="0" xfId="0" applyNumberFormat="1" applyAlignment="1">
      <alignment/>
    </xf>
    <xf numFmtId="2" fontId="8" fillId="0" borderId="0" xfId="0" applyNumberFormat="1" applyFont="1" applyAlignment="1">
      <alignment/>
    </xf>
    <xf numFmtId="3" fontId="0" fillId="0" borderId="32" xfId="0" applyNumberFormat="1" applyFont="1" applyFill="1" applyBorder="1" applyAlignment="1">
      <alignment horizontal="center"/>
    </xf>
    <xf numFmtId="0" fontId="0" fillId="0" borderId="0" xfId="0" applyFont="1" applyFill="1" applyBorder="1" applyAlignment="1">
      <alignment horizontal="center"/>
    </xf>
    <xf numFmtId="4" fontId="0" fillId="0" borderId="32" xfId="0" applyNumberFormat="1" applyFont="1" applyFill="1" applyBorder="1" applyAlignment="1">
      <alignment horizontal="center"/>
    </xf>
    <xf numFmtId="167" fontId="0" fillId="0" borderId="32" xfId="0" applyNumberFormat="1" applyFont="1" applyFill="1" applyBorder="1" applyAlignment="1">
      <alignment horizontal="center"/>
    </xf>
    <xf numFmtId="169" fontId="0" fillId="0" borderId="32" xfId="0" applyNumberFormat="1" applyFont="1" applyFill="1" applyBorder="1" applyAlignment="1">
      <alignment horizontal="center"/>
    </xf>
    <xf numFmtId="166" fontId="0" fillId="0" borderId="32" xfId="0" applyNumberFormat="1" applyFont="1" applyFill="1" applyBorder="1" applyAlignment="1">
      <alignment horizontal="center"/>
    </xf>
    <xf numFmtId="171" fontId="0" fillId="0" borderId="32" xfId="0" applyNumberFormat="1" applyFont="1" applyFill="1" applyBorder="1" applyAlignment="1">
      <alignment horizontal="center"/>
    </xf>
    <xf numFmtId="172" fontId="0" fillId="0" borderId="32" xfId="0" applyNumberFormat="1" applyFont="1" applyFill="1" applyBorder="1" applyAlignment="1">
      <alignment horizontal="center"/>
    </xf>
    <xf numFmtId="0" fontId="0" fillId="2" borderId="0" xfId="0" applyFill="1" applyAlignment="1">
      <alignment horizontal="center"/>
    </xf>
    <xf numFmtId="0" fontId="8" fillId="0" borderId="8" xfId="0" applyFont="1" applyBorder="1" applyAlignment="1">
      <alignment/>
    </xf>
    <xf numFmtId="0" fontId="0" fillId="0" borderId="0" xfId="0" applyFont="1" applyFill="1" applyAlignment="1">
      <alignment horizontal="left"/>
    </xf>
    <xf numFmtId="0" fontId="0" fillId="0" borderId="0" xfId="0" applyFont="1" applyAlignment="1">
      <alignment horizontal="left"/>
    </xf>
    <xf numFmtId="0" fontId="0" fillId="0" borderId="0" xfId="0" applyFont="1" applyBorder="1" applyAlignment="1">
      <alignment horizontal="left"/>
    </xf>
    <xf numFmtId="0" fontId="7" fillId="0" borderId="33" xfId="0" applyFont="1" applyBorder="1" applyAlignment="1">
      <alignment horizontal="center"/>
    </xf>
    <xf numFmtId="0" fontId="0" fillId="0" borderId="28" xfId="0" applyFont="1" applyBorder="1" applyAlignment="1">
      <alignment horizontal="center"/>
    </xf>
    <xf numFmtId="0" fontId="0" fillId="0" borderId="28" xfId="0" applyFont="1" applyBorder="1" applyAlignment="1">
      <alignment horizontal="left"/>
    </xf>
    <xf numFmtId="0" fontId="7" fillId="0" borderId="34" xfId="0" applyFont="1" applyFill="1" applyBorder="1" applyAlignment="1">
      <alignment horizontal="center"/>
    </xf>
    <xf numFmtId="0" fontId="7" fillId="0" borderId="35" xfId="0" applyFont="1" applyFill="1" applyBorder="1" applyAlignment="1">
      <alignment horizontal="center" wrapText="1"/>
    </xf>
    <xf numFmtId="0" fontId="7" fillId="0" borderId="25" xfId="0" applyFont="1" applyBorder="1" applyAlignment="1">
      <alignment horizontal="center" wrapText="1"/>
    </xf>
    <xf numFmtId="0" fontId="7" fillId="0" borderId="18" xfId="0" applyFont="1" applyBorder="1" applyAlignment="1">
      <alignment horizontal="center" wrapText="1"/>
    </xf>
    <xf numFmtId="0" fontId="7" fillId="0" borderId="18" xfId="0" applyFont="1" applyBorder="1" applyAlignment="1">
      <alignment horizontal="left" wrapText="1"/>
    </xf>
    <xf numFmtId="0" fontId="7" fillId="0" borderId="36" xfId="0" applyFont="1" applyBorder="1" applyAlignment="1">
      <alignment horizontal="center" wrapText="1"/>
    </xf>
    <xf numFmtId="0" fontId="7" fillId="0" borderId="37" xfId="0" applyFont="1" applyBorder="1" applyAlignment="1">
      <alignment horizontal="center" wrapText="1"/>
    </xf>
    <xf numFmtId="0" fontId="0" fillId="0" borderId="0" xfId="0" applyFont="1" applyAlignment="1">
      <alignment/>
    </xf>
    <xf numFmtId="0" fontId="11" fillId="0" borderId="0" xfId="0" applyFont="1" applyAlignment="1">
      <alignment/>
    </xf>
    <xf numFmtId="0" fontId="11" fillId="0" borderId="2" xfId="0" applyFont="1" applyFill="1" applyBorder="1" applyAlignment="1">
      <alignment horizontal="center"/>
    </xf>
    <xf numFmtId="0" fontId="11" fillId="0" borderId="3" xfId="0" applyFont="1" applyBorder="1" applyAlignment="1">
      <alignment horizontal="left"/>
    </xf>
    <xf numFmtId="0" fontId="11" fillId="0" borderId="28" xfId="0" applyFont="1" applyBorder="1" applyAlignment="1">
      <alignment horizontal="center"/>
    </xf>
    <xf numFmtId="0" fontId="11" fillId="0" borderId="28" xfId="0" applyFont="1" applyFill="1" applyBorder="1" applyAlignment="1">
      <alignment horizontal="center"/>
    </xf>
    <xf numFmtId="0" fontId="11" fillId="0" borderId="5" xfId="0" applyFont="1" applyFill="1" applyBorder="1" applyAlignment="1">
      <alignment horizontal="center"/>
    </xf>
    <xf numFmtId="0" fontId="11" fillId="0" borderId="6" xfId="0" applyFont="1" applyBorder="1" applyAlignment="1">
      <alignment horizontal="left"/>
    </xf>
    <xf numFmtId="0" fontId="11" fillId="0" borderId="8" xfId="0" applyFont="1" applyBorder="1" applyAlignment="1">
      <alignment horizontal="center"/>
    </xf>
    <xf numFmtId="0" fontId="11" fillId="0" borderId="8" xfId="0" applyFont="1" applyFill="1" applyBorder="1" applyAlignment="1">
      <alignment horizontal="center"/>
    </xf>
    <xf numFmtId="0" fontId="11" fillId="0" borderId="8" xfId="0" applyFont="1" applyFill="1" applyBorder="1" applyAlignment="1">
      <alignment horizontal="center"/>
    </xf>
    <xf numFmtId="0" fontId="11" fillId="0" borderId="8" xfId="0" applyFont="1" applyBorder="1" applyAlignment="1">
      <alignment horizontal="center" wrapText="1"/>
    </xf>
    <xf numFmtId="0" fontId="11" fillId="0" borderId="6" xfId="0" applyFont="1" applyBorder="1" applyAlignment="1">
      <alignment horizontal="left"/>
    </xf>
    <xf numFmtId="165" fontId="11" fillId="0" borderId="8" xfId="0" applyNumberFormat="1" applyFont="1" applyBorder="1" applyAlignment="1">
      <alignment horizontal="center" wrapText="1"/>
    </xf>
    <xf numFmtId="0" fontId="11" fillId="0" borderId="6" xfId="0" applyFont="1" applyFill="1" applyBorder="1" applyAlignment="1">
      <alignment horizontal="left"/>
    </xf>
    <xf numFmtId="0" fontId="11" fillId="0" borderId="6" xfId="0" applyFont="1" applyFill="1" applyBorder="1" applyAlignment="1">
      <alignment horizontal="left"/>
    </xf>
    <xf numFmtId="0" fontId="11" fillId="0" borderId="38" xfId="0" applyFont="1" applyFill="1" applyBorder="1" applyAlignment="1">
      <alignment horizontal="center"/>
    </xf>
    <xf numFmtId="0" fontId="11" fillId="0" borderId="9" xfId="0" applyFont="1" applyFill="1" applyBorder="1" applyAlignment="1">
      <alignment horizontal="center"/>
    </xf>
    <xf numFmtId="0" fontId="11" fillId="0" borderId="10" xfId="0" applyFont="1" applyBorder="1" applyAlignment="1">
      <alignment horizontal="left"/>
    </xf>
    <xf numFmtId="1" fontId="11" fillId="3" borderId="8" xfId="0" applyNumberFormat="1" applyFont="1" applyFill="1" applyBorder="1" applyAlignment="1">
      <alignment horizontal="center"/>
    </xf>
    <xf numFmtId="164" fontId="11" fillId="3" borderId="8" xfId="0" applyNumberFormat="1" applyFont="1" applyFill="1" applyBorder="1" applyAlignment="1">
      <alignment horizontal="center"/>
    </xf>
    <xf numFmtId="0" fontId="11" fillId="3" borderId="8" xfId="0" applyFont="1" applyFill="1" applyBorder="1" applyAlignment="1">
      <alignment horizontal="center"/>
    </xf>
    <xf numFmtId="1" fontId="11" fillId="3" borderId="8" xfId="0" applyNumberFormat="1" applyFont="1" applyFill="1" applyBorder="1" applyAlignment="1">
      <alignment horizontal="center"/>
    </xf>
    <xf numFmtId="164" fontId="11" fillId="0" borderId="8" xfId="0" applyNumberFormat="1" applyFont="1" applyBorder="1" applyAlignment="1">
      <alignment horizontal="center"/>
    </xf>
    <xf numFmtId="1" fontId="11" fillId="0" borderId="8" xfId="0" applyNumberFormat="1" applyFont="1" applyBorder="1" applyAlignment="1">
      <alignment horizontal="center"/>
    </xf>
    <xf numFmtId="2" fontId="11" fillId="0" borderId="8" xfId="0" applyNumberFormat="1" applyFont="1" applyBorder="1" applyAlignment="1">
      <alignment horizontal="center"/>
    </xf>
    <xf numFmtId="1" fontId="11" fillId="0" borderId="8" xfId="0" applyNumberFormat="1" applyFont="1" applyBorder="1" applyAlignment="1">
      <alignment horizontal="center"/>
    </xf>
    <xf numFmtId="165" fontId="11" fillId="0" borderId="39" xfId="0" applyNumberFormat="1" applyFont="1" applyBorder="1" applyAlignment="1">
      <alignment horizontal="center"/>
    </xf>
    <xf numFmtId="165" fontId="11" fillId="0" borderId="8" xfId="0" applyNumberFormat="1" applyFont="1" applyBorder="1" applyAlignment="1">
      <alignment horizontal="center"/>
    </xf>
    <xf numFmtId="0" fontId="11" fillId="0" borderId="0" xfId="0" applyFont="1" applyBorder="1" applyAlignment="1">
      <alignment horizontal="center"/>
    </xf>
    <xf numFmtId="0" fontId="4" fillId="0" borderId="28" xfId="0" applyFont="1" applyFill="1" applyBorder="1" applyAlignment="1">
      <alignment horizontal="left"/>
    </xf>
    <xf numFmtId="0" fontId="4" fillId="0" borderId="8" xfId="0" applyFont="1" applyFill="1" applyBorder="1" applyAlignment="1">
      <alignment horizontal="left"/>
    </xf>
    <xf numFmtId="0" fontId="0" fillId="0" borderId="28" xfId="0" applyFont="1" applyFill="1" applyBorder="1" applyAlignment="1">
      <alignment horizontal="center"/>
    </xf>
    <xf numFmtId="0" fontId="0" fillId="0" borderId="8" xfId="0" applyFont="1" applyFill="1" applyBorder="1" applyAlignment="1">
      <alignment horizontal="left"/>
    </xf>
    <xf numFmtId="0" fontId="0" fillId="0" borderId="28" xfId="0" applyFont="1" applyFill="1" applyBorder="1" applyAlignment="1">
      <alignment horizontal="left"/>
    </xf>
    <xf numFmtId="1" fontId="11" fillId="0" borderId="8" xfId="0" applyNumberFormat="1" applyFont="1" applyBorder="1" applyAlignment="1">
      <alignment horizontal="right"/>
    </xf>
    <xf numFmtId="171" fontId="0" fillId="0" borderId="40" xfId="0" applyNumberFormat="1" applyFont="1" applyFill="1" applyBorder="1" applyAlignment="1">
      <alignment horizontal="center"/>
    </xf>
    <xf numFmtId="0" fontId="0" fillId="0" borderId="8" xfId="0" applyFill="1" applyBorder="1" applyAlignment="1">
      <alignment horizontal="center"/>
    </xf>
    <xf numFmtId="0" fontId="0" fillId="0" borderId="8" xfId="0" applyBorder="1" applyAlignment="1">
      <alignment horizontal="left"/>
    </xf>
    <xf numFmtId="165" fontId="11" fillId="0" borderId="7" xfId="0" applyNumberFormat="1" applyFont="1" applyBorder="1" applyAlignment="1">
      <alignment/>
    </xf>
    <xf numFmtId="0" fontId="11" fillId="0" borderId="41" xfId="0" applyFont="1" applyFill="1" applyBorder="1" applyAlignment="1">
      <alignment horizontal="center"/>
    </xf>
    <xf numFmtId="0" fontId="0" fillId="4" borderId="39" xfId="0" applyFill="1" applyBorder="1" applyAlignment="1">
      <alignment horizontal="center"/>
    </xf>
    <xf numFmtId="0" fontId="18" fillId="4" borderId="42" xfId="0" applyFont="1" applyFill="1" applyBorder="1" applyAlignment="1">
      <alignment horizontal="center" wrapText="1"/>
    </xf>
    <xf numFmtId="0" fontId="11" fillId="4" borderId="42" xfId="0" applyFont="1" applyFill="1" applyBorder="1" applyAlignment="1">
      <alignment horizontal="center"/>
    </xf>
    <xf numFmtId="0" fontId="11" fillId="4" borderId="28" xfId="0" applyFont="1" applyFill="1" applyBorder="1" applyAlignment="1">
      <alignment horizontal="center"/>
    </xf>
    <xf numFmtId="0" fontId="8" fillId="0" borderId="43" xfId="0" applyFont="1" applyFill="1" applyBorder="1" applyAlignment="1">
      <alignment horizontal="left"/>
    </xf>
    <xf numFmtId="0" fontId="4" fillId="5" borderId="44" xfId="0" applyFont="1" applyFill="1" applyBorder="1" applyAlignment="1">
      <alignment horizontal="left"/>
    </xf>
    <xf numFmtId="0" fontId="4" fillId="5" borderId="45" xfId="0" applyFont="1" applyFill="1" applyBorder="1" applyAlignment="1">
      <alignment horizontal="left"/>
    </xf>
    <xf numFmtId="0" fontId="4" fillId="5" borderId="46" xfId="0" applyFont="1" applyFill="1" applyBorder="1" applyAlignment="1">
      <alignment horizontal="left"/>
    </xf>
    <xf numFmtId="0" fontId="11" fillId="0" borderId="47" xfId="0" applyFont="1" applyBorder="1" applyAlignment="1">
      <alignment wrapText="1"/>
    </xf>
    <xf numFmtId="1" fontId="16" fillId="0" borderId="38" xfId="0" applyNumberFormat="1" applyFont="1" applyBorder="1" applyAlignment="1">
      <alignment/>
    </xf>
    <xf numFmtId="1" fontId="11" fillId="0" borderId="38" xfId="0" applyNumberFormat="1" applyFont="1" applyBorder="1" applyAlignment="1">
      <alignment/>
    </xf>
    <xf numFmtId="164" fontId="16" fillId="0" borderId="38" xfId="0" applyNumberFormat="1" applyFont="1" applyBorder="1" applyAlignment="1">
      <alignment wrapText="1"/>
    </xf>
    <xf numFmtId="164" fontId="11" fillId="0" borderId="38" xfId="0" applyNumberFormat="1" applyFont="1" applyBorder="1" applyAlignment="1">
      <alignment wrapText="1"/>
    </xf>
    <xf numFmtId="1" fontId="16" fillId="0" borderId="38" xfId="0" applyNumberFormat="1" applyFont="1" applyBorder="1" applyAlignment="1">
      <alignment wrapText="1"/>
    </xf>
    <xf numFmtId="165" fontId="11" fillId="0" borderId="38" xfId="0" applyNumberFormat="1" applyFont="1" applyBorder="1" applyAlignment="1">
      <alignment wrapText="1"/>
    </xf>
    <xf numFmtId="0" fontId="11" fillId="0" borderId="38" xfId="0" applyFont="1" applyBorder="1" applyAlignment="1">
      <alignment wrapText="1"/>
    </xf>
    <xf numFmtId="1" fontId="11" fillId="0" borderId="38" xfId="0" applyNumberFormat="1" applyFont="1" applyBorder="1" applyAlignment="1">
      <alignment wrapText="1"/>
    </xf>
    <xf numFmtId="0" fontId="11" fillId="0" borderId="38" xfId="0" applyFont="1" applyBorder="1" applyAlignment="1">
      <alignment/>
    </xf>
    <xf numFmtId="2" fontId="11" fillId="0" borderId="38" xfId="0" applyNumberFormat="1" applyFont="1" applyBorder="1" applyAlignment="1">
      <alignment/>
    </xf>
    <xf numFmtId="170" fontId="11" fillId="0" borderId="38" xfId="0" applyNumberFormat="1" applyFont="1" applyBorder="1" applyAlignment="1">
      <alignment/>
    </xf>
    <xf numFmtId="168" fontId="11" fillId="0" borderId="38" xfId="0" applyNumberFormat="1" applyFont="1" applyBorder="1" applyAlignment="1">
      <alignment/>
    </xf>
    <xf numFmtId="1" fontId="11" fillId="0" borderId="48" xfId="0" applyNumberFormat="1" applyFont="1" applyBorder="1" applyAlignment="1">
      <alignment horizontal="right" wrapText="1"/>
    </xf>
    <xf numFmtId="0" fontId="11" fillId="0" borderId="41" xfId="0" applyFont="1" applyBorder="1" applyAlignment="1">
      <alignment/>
    </xf>
    <xf numFmtId="1" fontId="11" fillId="0" borderId="49" xfId="0" applyNumberFormat="1" applyFont="1" applyBorder="1" applyAlignment="1">
      <alignment horizontal="right"/>
    </xf>
    <xf numFmtId="0" fontId="11" fillId="0" borderId="6" xfId="0" applyFont="1" applyBorder="1" applyAlignment="1">
      <alignment/>
    </xf>
    <xf numFmtId="1" fontId="11" fillId="0" borderId="49" xfId="0" applyNumberFormat="1" applyFont="1" applyBorder="1" applyAlignment="1">
      <alignment horizontal="right" wrapText="1"/>
    </xf>
    <xf numFmtId="0" fontId="11" fillId="0" borderId="6" xfId="0" applyFont="1" applyBorder="1" applyAlignment="1">
      <alignment/>
    </xf>
    <xf numFmtId="0" fontId="11" fillId="0" borderId="6" xfId="0" applyFont="1" applyFill="1" applyBorder="1" applyAlignment="1">
      <alignment/>
    </xf>
    <xf numFmtId="1" fontId="18" fillId="0" borderId="49" xfId="0" applyNumberFormat="1" applyFont="1" applyBorder="1" applyAlignment="1">
      <alignment horizontal="right"/>
    </xf>
    <xf numFmtId="0" fontId="11" fillId="0" borderId="50" xfId="0" applyFont="1" applyBorder="1" applyAlignment="1">
      <alignment horizontal="left" wrapText="1"/>
    </xf>
    <xf numFmtId="0" fontId="8" fillId="0" borderId="51" xfId="0" applyFont="1" applyBorder="1" applyAlignment="1">
      <alignment wrapText="1"/>
    </xf>
    <xf numFmtId="0" fontId="11" fillId="0" borderId="27" xfId="0" applyFont="1" applyBorder="1" applyAlignment="1">
      <alignment/>
    </xf>
    <xf numFmtId="0" fontId="11" fillId="0" borderId="5" xfId="0" applyFont="1" applyBorder="1" applyAlignment="1">
      <alignment/>
    </xf>
    <xf numFmtId="1" fontId="11" fillId="0" borderId="6" xfId="0" applyNumberFormat="1" applyFont="1" applyBorder="1" applyAlignment="1">
      <alignment/>
    </xf>
    <xf numFmtId="164" fontId="11" fillId="0" borderId="6" xfId="0" applyNumberFormat="1" applyFont="1" applyBorder="1" applyAlignment="1">
      <alignment/>
    </xf>
    <xf numFmtId="164" fontId="11" fillId="0" borderId="6" xfId="0" applyNumberFormat="1" applyFont="1" applyBorder="1" applyAlignment="1">
      <alignment/>
    </xf>
    <xf numFmtId="0" fontId="11" fillId="0" borderId="5" xfId="0" applyFont="1" applyFill="1" applyBorder="1" applyAlignment="1">
      <alignment/>
    </xf>
    <xf numFmtId="1" fontId="11" fillId="0" borderId="6" xfId="0" applyNumberFormat="1" applyFont="1" applyBorder="1" applyAlignment="1">
      <alignment/>
    </xf>
    <xf numFmtId="0" fontId="8" fillId="0" borderId="5" xfId="0" applyFont="1" applyBorder="1" applyAlignment="1">
      <alignment/>
    </xf>
    <xf numFmtId="1" fontId="11" fillId="0" borderId="7" xfId="0" applyNumberFormat="1" applyFont="1" applyBorder="1" applyAlignment="1">
      <alignment/>
    </xf>
    <xf numFmtId="0" fontId="8" fillId="0" borderId="5" xfId="0" applyFont="1" applyFill="1" applyBorder="1" applyAlignment="1">
      <alignment/>
    </xf>
    <xf numFmtId="1" fontId="11" fillId="0" borderId="6" xfId="0" applyNumberFormat="1" applyFont="1" applyFill="1" applyBorder="1" applyAlignment="1">
      <alignment/>
    </xf>
    <xf numFmtId="0" fontId="18" fillId="0" borderId="6" xfId="0" applyFont="1" applyBorder="1" applyAlignment="1">
      <alignment/>
    </xf>
    <xf numFmtId="0" fontId="11" fillId="0" borderId="15" xfId="0" applyFont="1" applyBorder="1" applyAlignment="1">
      <alignment/>
    </xf>
    <xf numFmtId="0" fontId="11" fillId="0" borderId="28" xfId="0" applyFont="1" applyBorder="1" applyAlignment="1">
      <alignment/>
    </xf>
    <xf numFmtId="0" fontId="11" fillId="0" borderId="52" xfId="0" applyFont="1" applyBorder="1" applyAlignment="1">
      <alignment/>
    </xf>
    <xf numFmtId="1" fontId="11" fillId="0" borderId="5" xfId="0" applyNumberFormat="1" applyFont="1" applyBorder="1" applyAlignment="1">
      <alignment/>
    </xf>
    <xf numFmtId="1" fontId="11" fillId="0" borderId="8" xfId="0" applyNumberFormat="1" applyFont="1" applyBorder="1" applyAlignment="1">
      <alignment/>
    </xf>
    <xf numFmtId="1" fontId="11" fillId="0" borderId="53" xfId="0" applyNumberFormat="1" applyFont="1" applyBorder="1" applyAlignment="1">
      <alignment/>
    </xf>
    <xf numFmtId="164" fontId="11" fillId="0" borderId="5" xfId="0" applyNumberFormat="1" applyFont="1" applyBorder="1" applyAlignment="1">
      <alignment/>
    </xf>
    <xf numFmtId="164" fontId="11" fillId="0" borderId="8" xfId="0" applyNumberFormat="1" applyFont="1" applyBorder="1" applyAlignment="1">
      <alignment/>
    </xf>
    <xf numFmtId="164" fontId="11" fillId="0" borderId="53" xfId="0" applyNumberFormat="1" applyFont="1" applyBorder="1" applyAlignment="1">
      <alignment/>
    </xf>
    <xf numFmtId="164" fontId="11" fillId="0" borderId="8" xfId="0" applyNumberFormat="1" applyFont="1" applyBorder="1" applyAlignment="1">
      <alignment/>
    </xf>
    <xf numFmtId="164" fontId="11" fillId="0" borderId="53" xfId="0" applyNumberFormat="1" applyFont="1" applyBorder="1" applyAlignment="1">
      <alignment/>
    </xf>
    <xf numFmtId="164" fontId="11" fillId="0" borderId="5" xfId="0" applyNumberFormat="1" applyFont="1" applyBorder="1" applyAlignment="1">
      <alignment/>
    </xf>
    <xf numFmtId="1" fontId="11" fillId="0" borderId="5" xfId="0" applyNumberFormat="1" applyFont="1" applyBorder="1" applyAlignment="1">
      <alignment/>
    </xf>
    <xf numFmtId="1" fontId="11" fillId="0" borderId="8" xfId="0" applyNumberFormat="1" applyFont="1" applyBorder="1" applyAlignment="1">
      <alignment/>
    </xf>
    <xf numFmtId="1" fontId="11" fillId="0" borderId="53" xfId="0" applyNumberFormat="1" applyFont="1" applyBorder="1" applyAlignment="1">
      <alignment/>
    </xf>
    <xf numFmtId="165" fontId="11" fillId="0" borderId="5" xfId="0" applyNumberFormat="1" applyFont="1" applyFill="1" applyBorder="1" applyAlignment="1">
      <alignment/>
    </xf>
    <xf numFmtId="164" fontId="11" fillId="0" borderId="8" xfId="0" applyNumberFormat="1" applyFont="1" applyFill="1" applyBorder="1" applyAlignment="1">
      <alignment/>
    </xf>
    <xf numFmtId="164" fontId="11" fillId="0" borderId="53" xfId="0" applyNumberFormat="1" applyFont="1" applyFill="1" applyBorder="1" applyAlignment="1">
      <alignment/>
    </xf>
    <xf numFmtId="0" fontId="11" fillId="0" borderId="8" xfId="0" applyFont="1" applyFill="1" applyBorder="1" applyAlignment="1">
      <alignment/>
    </xf>
    <xf numFmtId="0" fontId="11" fillId="0" borderId="53" xfId="0" applyFont="1" applyFill="1" applyBorder="1" applyAlignment="1">
      <alignment/>
    </xf>
    <xf numFmtId="0" fontId="11" fillId="0" borderId="53" xfId="0" applyFont="1" applyBorder="1" applyAlignment="1">
      <alignment/>
    </xf>
    <xf numFmtId="0" fontId="18" fillId="0" borderId="5" xfId="0" applyFont="1" applyBorder="1" applyAlignment="1">
      <alignment/>
    </xf>
    <xf numFmtId="0" fontId="18" fillId="0" borderId="8" xfId="0" applyFont="1" applyBorder="1" applyAlignment="1">
      <alignment/>
    </xf>
    <xf numFmtId="0" fontId="18" fillId="0" borderId="53" xfId="0" applyFont="1" applyBorder="1" applyAlignment="1">
      <alignment/>
    </xf>
    <xf numFmtId="0" fontId="11" fillId="0" borderId="18" xfId="0" applyFont="1" applyBorder="1" applyAlignment="1">
      <alignment horizontal="center" wrapText="1"/>
    </xf>
    <xf numFmtId="0" fontId="11" fillId="0" borderId="54" xfId="0" applyFont="1" applyBorder="1" applyAlignment="1">
      <alignment horizontal="center" wrapText="1"/>
    </xf>
    <xf numFmtId="0" fontId="11" fillId="0" borderId="25" xfId="0" applyFont="1" applyBorder="1" applyAlignment="1">
      <alignment horizontal="center" wrapText="1"/>
    </xf>
    <xf numFmtId="0" fontId="11" fillId="0" borderId="55" xfId="0" applyFont="1" applyBorder="1" applyAlignment="1">
      <alignment horizontal="center" wrapText="1"/>
    </xf>
    <xf numFmtId="0" fontId="11" fillId="0" borderId="51" xfId="0" applyFont="1" applyBorder="1" applyAlignment="1">
      <alignment horizontal="center" wrapText="1"/>
    </xf>
    <xf numFmtId="0" fontId="11" fillId="0" borderId="56" xfId="0" applyFont="1" applyBorder="1" applyAlignment="1">
      <alignment horizontal="center" wrapText="1"/>
    </xf>
    <xf numFmtId="0" fontId="11" fillId="0" borderId="57" xfId="0" applyFont="1" applyBorder="1" applyAlignment="1">
      <alignment/>
    </xf>
    <xf numFmtId="0" fontId="11" fillId="0" borderId="28" xfId="0" applyFont="1" applyBorder="1" applyAlignment="1">
      <alignment wrapText="1"/>
    </xf>
    <xf numFmtId="0" fontId="11" fillId="0" borderId="41" xfId="0" applyFont="1" applyBorder="1" applyAlignment="1">
      <alignment wrapText="1"/>
    </xf>
    <xf numFmtId="3" fontId="11" fillId="0" borderId="8" xfId="0" applyNumberFormat="1" applyFont="1" applyBorder="1" applyAlignment="1">
      <alignment/>
    </xf>
    <xf numFmtId="3" fontId="11" fillId="0" borderId="6" xfId="0" applyNumberFormat="1" applyFont="1" applyBorder="1" applyAlignment="1">
      <alignment/>
    </xf>
    <xf numFmtId="164" fontId="11" fillId="0" borderId="38" xfId="0" applyNumberFormat="1" applyFont="1" applyBorder="1" applyAlignment="1">
      <alignment/>
    </xf>
    <xf numFmtId="164" fontId="11" fillId="0" borderId="38" xfId="0" applyNumberFormat="1" applyFont="1" applyBorder="1" applyAlignment="1">
      <alignment/>
    </xf>
    <xf numFmtId="3" fontId="11" fillId="0" borderId="8" xfId="0" applyNumberFormat="1" applyFont="1" applyBorder="1" applyAlignment="1">
      <alignment wrapText="1"/>
    </xf>
    <xf numFmtId="3" fontId="11" fillId="0" borderId="6" xfId="0" applyNumberFormat="1" applyFont="1" applyBorder="1" applyAlignment="1">
      <alignment wrapText="1"/>
    </xf>
    <xf numFmtId="1" fontId="11" fillId="0" borderId="38" xfId="0" applyNumberFormat="1" applyFont="1" applyBorder="1" applyAlignment="1">
      <alignment/>
    </xf>
    <xf numFmtId="0" fontId="11" fillId="0" borderId="8" xfId="0" applyFont="1" applyFill="1" applyBorder="1" applyAlignment="1">
      <alignment wrapText="1"/>
    </xf>
    <xf numFmtId="0" fontId="11" fillId="0" borderId="8" xfId="0" applyFont="1" applyBorder="1" applyAlignment="1">
      <alignment wrapText="1"/>
    </xf>
    <xf numFmtId="0" fontId="11" fillId="0" borderId="6" xfId="0" applyFont="1" applyBorder="1" applyAlignment="1">
      <alignment wrapText="1"/>
    </xf>
    <xf numFmtId="1" fontId="11" fillId="0" borderId="8" xfId="0" applyNumberFormat="1" applyFont="1" applyBorder="1" applyAlignment="1">
      <alignment wrapText="1"/>
    </xf>
    <xf numFmtId="1" fontId="11" fillId="0" borderId="6" xfId="0" applyNumberFormat="1" applyFont="1" applyBorder="1" applyAlignment="1">
      <alignment wrapText="1"/>
    </xf>
    <xf numFmtId="165" fontId="11" fillId="0" borderId="38" xfId="0" applyNumberFormat="1" applyFont="1" applyBorder="1" applyAlignment="1">
      <alignment/>
    </xf>
    <xf numFmtId="164" fontId="11" fillId="0" borderId="8" xfId="0" applyNumberFormat="1" applyFont="1" applyBorder="1" applyAlignment="1">
      <alignment wrapText="1"/>
    </xf>
    <xf numFmtId="164" fontId="11" fillId="0" borderId="6" xfId="0" applyNumberFormat="1" applyFont="1" applyBorder="1" applyAlignment="1">
      <alignment wrapText="1"/>
    </xf>
    <xf numFmtId="0" fontId="18" fillId="0" borderId="38" xfId="0" applyFont="1" applyBorder="1" applyAlignment="1">
      <alignment/>
    </xf>
    <xf numFmtId="0" fontId="11" fillId="0" borderId="27" xfId="0" applyFont="1" applyBorder="1" applyAlignment="1">
      <alignment wrapText="1"/>
    </xf>
    <xf numFmtId="1" fontId="16" fillId="0" borderId="8" xfId="0" applyNumberFormat="1" applyFont="1" applyBorder="1" applyAlignment="1">
      <alignment wrapText="1"/>
    </xf>
    <xf numFmtId="0" fontId="11" fillId="0" borderId="5" xfId="0" applyFont="1" applyBorder="1" applyAlignment="1">
      <alignment wrapText="1"/>
    </xf>
    <xf numFmtId="1" fontId="11" fillId="0" borderId="5" xfId="0" applyNumberFormat="1" applyFont="1" applyBorder="1" applyAlignment="1">
      <alignment wrapText="1"/>
    </xf>
    <xf numFmtId="2" fontId="11" fillId="0" borderId="5" xfId="0" applyNumberFormat="1" applyFont="1" applyBorder="1" applyAlignment="1">
      <alignment/>
    </xf>
    <xf numFmtId="2" fontId="11" fillId="0" borderId="8" xfId="0" applyNumberFormat="1" applyFont="1" applyBorder="1" applyAlignment="1">
      <alignment/>
    </xf>
    <xf numFmtId="0" fontId="11" fillId="0" borderId="57" xfId="0" applyFont="1" applyBorder="1" applyAlignment="1">
      <alignment wrapText="1"/>
    </xf>
    <xf numFmtId="3" fontId="11" fillId="0" borderId="58" xfId="0" applyNumberFormat="1" applyFont="1" applyBorder="1" applyAlignment="1">
      <alignment wrapText="1"/>
    </xf>
    <xf numFmtId="0" fontId="11" fillId="0" borderId="59" xfId="0" applyFont="1" applyBorder="1" applyAlignment="1">
      <alignment/>
    </xf>
    <xf numFmtId="0" fontId="11" fillId="0" borderId="59" xfId="0" applyFont="1" applyBorder="1" applyAlignment="1">
      <alignment wrapText="1"/>
    </xf>
    <xf numFmtId="1" fontId="11" fillId="0" borderId="59" xfId="0" applyNumberFormat="1" applyFont="1" applyBorder="1" applyAlignment="1">
      <alignment wrapText="1"/>
    </xf>
    <xf numFmtId="165" fontId="11" fillId="0" borderId="59" xfId="0" applyNumberFormat="1" applyFont="1" applyBorder="1" applyAlignment="1">
      <alignment wrapText="1"/>
    </xf>
    <xf numFmtId="3" fontId="11" fillId="0" borderId="59" xfId="0" applyNumberFormat="1" applyFont="1" applyBorder="1" applyAlignment="1">
      <alignment wrapText="1"/>
    </xf>
    <xf numFmtId="164" fontId="11" fillId="0" borderId="59" xfId="0" applyNumberFormat="1" applyFont="1" applyBorder="1" applyAlignment="1">
      <alignment wrapText="1"/>
    </xf>
    <xf numFmtId="168" fontId="11" fillId="0" borderId="59" xfId="0" applyNumberFormat="1" applyFont="1" applyBorder="1" applyAlignment="1">
      <alignment/>
    </xf>
    <xf numFmtId="1" fontId="11" fillId="0" borderId="59" xfId="0" applyNumberFormat="1" applyFont="1" applyBorder="1" applyAlignment="1">
      <alignment/>
    </xf>
    <xf numFmtId="2" fontId="11" fillId="0" borderId="59" xfId="0" applyNumberFormat="1" applyFont="1" applyBorder="1" applyAlignment="1">
      <alignment/>
    </xf>
    <xf numFmtId="164" fontId="11" fillId="0" borderId="59" xfId="0" applyNumberFormat="1" applyFont="1" applyBorder="1" applyAlignment="1">
      <alignment/>
    </xf>
    <xf numFmtId="3" fontId="11" fillId="0" borderId="59" xfId="0" applyNumberFormat="1" applyFont="1" applyBorder="1" applyAlignment="1">
      <alignment/>
    </xf>
    <xf numFmtId="0" fontId="11" fillId="0" borderId="59" xfId="0" applyFont="1" applyBorder="1" applyAlignment="1">
      <alignment/>
    </xf>
    <xf numFmtId="170" fontId="11" fillId="0" borderId="59" xfId="0" applyNumberFormat="1" applyFont="1" applyBorder="1" applyAlignment="1">
      <alignment/>
    </xf>
    <xf numFmtId="165" fontId="11" fillId="0" borderId="59" xfId="0" applyNumberFormat="1" applyFont="1" applyBorder="1" applyAlignment="1">
      <alignment/>
    </xf>
    <xf numFmtId="0" fontId="8" fillId="0" borderId="2" xfId="0" applyFont="1" applyFill="1" applyBorder="1" applyAlignment="1">
      <alignment horizontal="left"/>
    </xf>
    <xf numFmtId="0" fontId="8" fillId="0" borderId="60" xfId="0" applyFont="1" applyFill="1" applyBorder="1" applyAlignment="1">
      <alignment horizontal="left"/>
    </xf>
    <xf numFmtId="0" fontId="18" fillId="6" borderId="36" xfId="0" applyFont="1" applyFill="1" applyBorder="1" applyAlignment="1">
      <alignment horizontal="left" wrapText="1"/>
    </xf>
    <xf numFmtId="0" fontId="18" fillId="5" borderId="61" xfId="0" applyFont="1" applyFill="1" applyBorder="1" applyAlignment="1">
      <alignment horizontal="center" wrapText="1"/>
    </xf>
    <xf numFmtId="0" fontId="11" fillId="5" borderId="62" xfId="0" applyFont="1" applyFill="1" applyBorder="1" applyAlignment="1">
      <alignment horizontal="center"/>
    </xf>
    <xf numFmtId="0" fontId="18" fillId="5" borderId="11" xfId="0" applyFont="1" applyFill="1" applyBorder="1" applyAlignment="1">
      <alignment horizontal="center" wrapText="1"/>
    </xf>
    <xf numFmtId="0" fontId="11" fillId="5" borderId="36" xfId="0" applyFont="1" applyFill="1" applyBorder="1" applyAlignment="1">
      <alignment horizontal="center"/>
    </xf>
    <xf numFmtId="0" fontId="18" fillId="6" borderId="11" xfId="0" applyFont="1" applyFill="1" applyBorder="1" applyAlignment="1">
      <alignment horizontal="center"/>
    </xf>
    <xf numFmtId="164" fontId="11" fillId="0" borderId="8" xfId="0" applyNumberFormat="1" applyFont="1" applyBorder="1" applyAlignment="1">
      <alignment horizontal="center"/>
    </xf>
    <xf numFmtId="0" fontId="0" fillId="0" borderId="0" xfId="22" applyFont="1" applyBorder="1" applyAlignment="1">
      <alignment horizontal="center"/>
      <protection/>
    </xf>
    <xf numFmtId="0" fontId="4" fillId="5" borderId="2" xfId="0" applyFont="1" applyFill="1" applyBorder="1" applyAlignment="1">
      <alignment horizontal="left"/>
    </xf>
    <xf numFmtId="0" fontId="5" fillId="5" borderId="60" xfId="0" applyFont="1" applyFill="1" applyBorder="1" applyAlignment="1">
      <alignment horizontal="left"/>
    </xf>
    <xf numFmtId="0" fontId="4" fillId="5" borderId="63" xfId="0" applyFont="1" applyFill="1" applyBorder="1" applyAlignment="1">
      <alignment horizontal="center"/>
    </xf>
    <xf numFmtId="0" fontId="4" fillId="5" borderId="64" xfId="0" applyFont="1" applyFill="1" applyBorder="1" applyAlignment="1">
      <alignment horizontal="left"/>
    </xf>
    <xf numFmtId="0" fontId="4" fillId="5" borderId="65" xfId="0" applyFont="1" applyFill="1" applyBorder="1" applyAlignment="1">
      <alignment horizontal="left"/>
    </xf>
    <xf numFmtId="0" fontId="4" fillId="5" borderId="43" xfId="0" applyFont="1" applyFill="1" applyBorder="1" applyAlignment="1">
      <alignment horizontal="left"/>
    </xf>
    <xf numFmtId="0" fontId="11" fillId="0" borderId="9" xfId="0" applyFont="1" applyFill="1" applyBorder="1" applyAlignment="1">
      <alignment horizontal="center" wrapText="1"/>
    </xf>
    <xf numFmtId="0" fontId="11" fillId="0" borderId="66" xfId="0" applyFont="1" applyFill="1" applyBorder="1" applyAlignment="1">
      <alignment horizontal="center" wrapText="1"/>
    </xf>
    <xf numFmtId="0" fontId="11" fillId="0" borderId="4" xfId="0" applyFont="1" applyBorder="1" applyAlignment="1">
      <alignment/>
    </xf>
    <xf numFmtId="0" fontId="0" fillId="0" borderId="23" xfId="0" applyBorder="1" applyAlignment="1">
      <alignment horizontal="center"/>
    </xf>
    <xf numFmtId="0" fontId="0" fillId="0" borderId="26" xfId="0" applyBorder="1" applyAlignment="1">
      <alignment horizontal="center"/>
    </xf>
    <xf numFmtId="11" fontId="11" fillId="0" borderId="8" xfId="0" applyNumberFormat="1" applyFont="1" applyBorder="1" applyAlignment="1">
      <alignment horizontal="center"/>
    </xf>
    <xf numFmtId="0" fontId="4" fillId="0" borderId="28" xfId="0" applyFont="1" applyBorder="1" applyAlignment="1">
      <alignment horizontal="center"/>
    </xf>
    <xf numFmtId="0" fontId="20" fillId="0" borderId="28" xfId="0" applyFont="1" applyBorder="1" applyAlignment="1">
      <alignment horizontal="center"/>
    </xf>
    <xf numFmtId="0" fontId="21" fillId="0" borderId="28" xfId="0" applyFont="1" applyBorder="1" applyAlignment="1">
      <alignment horizontal="center"/>
    </xf>
    <xf numFmtId="0" fontId="23" fillId="0" borderId="32" xfId="0" applyFont="1" applyBorder="1" applyAlignment="1">
      <alignment/>
    </xf>
    <xf numFmtId="2" fontId="23" fillId="0" borderId="67" xfId="0" applyNumberFormat="1" applyFont="1" applyBorder="1" applyAlignment="1">
      <alignment/>
    </xf>
    <xf numFmtId="0" fontId="23" fillId="0" borderId="67" xfId="0" applyFont="1" applyBorder="1" applyAlignment="1">
      <alignment horizontal="right"/>
    </xf>
    <xf numFmtId="2" fontId="23" fillId="0" borderId="67" xfId="0" applyNumberFormat="1" applyFont="1" applyBorder="1" applyAlignment="1">
      <alignment/>
    </xf>
    <xf numFmtId="165" fontId="23" fillId="0" borderId="67" xfId="0" applyNumberFormat="1" applyFont="1" applyBorder="1" applyAlignment="1">
      <alignment/>
    </xf>
    <xf numFmtId="168" fontId="23" fillId="0" borderId="67" xfId="0" applyNumberFormat="1" applyFont="1" applyBorder="1" applyAlignment="1">
      <alignment/>
    </xf>
    <xf numFmtId="1" fontId="23" fillId="0" borderId="67" xfId="0" applyNumberFormat="1" applyFont="1" applyBorder="1" applyAlignment="1">
      <alignment/>
    </xf>
    <xf numFmtId="164" fontId="23" fillId="0" borderId="67" xfId="0" applyNumberFormat="1" applyFont="1" applyBorder="1" applyAlignment="1">
      <alignment/>
    </xf>
    <xf numFmtId="0" fontId="23" fillId="0" borderId="67" xfId="0" applyFont="1" applyBorder="1" applyAlignment="1">
      <alignment horizontal="center"/>
    </xf>
    <xf numFmtId="3" fontId="23" fillId="0" borderId="67" xfId="0" applyNumberFormat="1" applyFont="1" applyBorder="1" applyAlignment="1">
      <alignment/>
    </xf>
    <xf numFmtId="170" fontId="23" fillId="0" borderId="67" xfId="0" applyNumberFormat="1" applyFont="1" applyBorder="1" applyAlignment="1">
      <alignment/>
    </xf>
    <xf numFmtId="165" fontId="23" fillId="0" borderId="67" xfId="0" applyNumberFormat="1" applyFont="1" applyBorder="1" applyAlignment="1">
      <alignment/>
    </xf>
    <xf numFmtId="173" fontId="23" fillId="0" borderId="67" xfId="0" applyNumberFormat="1" applyFont="1" applyBorder="1" applyAlignment="1">
      <alignment/>
    </xf>
    <xf numFmtId="165" fontId="23" fillId="0" borderId="68" xfId="0" applyNumberFormat="1" applyFont="1" applyBorder="1" applyAlignment="1">
      <alignment/>
    </xf>
    <xf numFmtId="2" fontId="23" fillId="0" borderId="5" xfId="0" applyNumberFormat="1" applyFont="1" applyBorder="1" applyAlignment="1">
      <alignment wrapText="1"/>
    </xf>
    <xf numFmtId="2" fontId="23" fillId="0" borderId="8" xfId="0" applyNumberFormat="1" applyFont="1" applyBorder="1" applyAlignment="1">
      <alignment wrapText="1"/>
    </xf>
    <xf numFmtId="2" fontId="23" fillId="0" borderId="5" xfId="0" applyNumberFormat="1" applyFont="1" applyBorder="1" applyAlignment="1">
      <alignment/>
    </xf>
    <xf numFmtId="2" fontId="23" fillId="0" borderId="8" xfId="0" applyNumberFormat="1" applyFont="1" applyBorder="1" applyAlignment="1">
      <alignment/>
    </xf>
    <xf numFmtId="1" fontId="23" fillId="0" borderId="5" xfId="0" applyNumberFormat="1" applyFont="1" applyBorder="1" applyAlignment="1">
      <alignment/>
    </xf>
    <xf numFmtId="1" fontId="23" fillId="0" borderId="8" xfId="0" applyNumberFormat="1" applyFont="1" applyBorder="1" applyAlignment="1">
      <alignment/>
    </xf>
    <xf numFmtId="1" fontId="23" fillId="0" borderId="38" xfId="0" applyNumberFormat="1" applyFont="1" applyBorder="1" applyAlignment="1">
      <alignment/>
    </xf>
    <xf numFmtId="164" fontId="23" fillId="0" borderId="8" xfId="0" applyNumberFormat="1" applyFont="1" applyBorder="1" applyAlignment="1">
      <alignment wrapText="1"/>
    </xf>
    <xf numFmtId="164" fontId="23" fillId="0" borderId="5" xfId="0" applyNumberFormat="1" applyFont="1" applyBorder="1" applyAlignment="1">
      <alignment wrapText="1"/>
    </xf>
    <xf numFmtId="1" fontId="23" fillId="0" borderId="38" xfId="0" applyNumberFormat="1" applyFont="1" applyBorder="1" applyAlignment="1">
      <alignment wrapText="1"/>
    </xf>
    <xf numFmtId="1" fontId="23" fillId="0" borderId="5" xfId="0" applyNumberFormat="1" applyFont="1" applyBorder="1" applyAlignment="1">
      <alignment wrapText="1"/>
    </xf>
    <xf numFmtId="1" fontId="23" fillId="0" borderId="8" xfId="0" applyNumberFormat="1" applyFont="1" applyBorder="1" applyAlignment="1">
      <alignment wrapText="1"/>
    </xf>
    <xf numFmtId="3" fontId="23" fillId="0" borderId="38" xfId="0" applyNumberFormat="1" applyFont="1" applyBorder="1" applyAlignment="1">
      <alignment wrapText="1"/>
    </xf>
    <xf numFmtId="0" fontId="23" fillId="0" borderId="5" xfId="0" applyFont="1" applyBorder="1" applyAlignment="1">
      <alignment wrapText="1"/>
    </xf>
    <xf numFmtId="0" fontId="23" fillId="0" borderId="8" xfId="0" applyFont="1" applyBorder="1" applyAlignment="1">
      <alignment wrapText="1"/>
    </xf>
    <xf numFmtId="164" fontId="23" fillId="0" borderId="38" xfId="0" applyNumberFormat="1" applyFont="1" applyBorder="1" applyAlignment="1">
      <alignment wrapText="1"/>
    </xf>
    <xf numFmtId="2" fontId="23" fillId="0" borderId="53" xfId="0" applyNumberFormat="1" applyFont="1" applyBorder="1" applyAlignment="1">
      <alignment/>
    </xf>
    <xf numFmtId="1" fontId="23" fillId="0" borderId="5" xfId="0" applyNumberFormat="1" applyFont="1" applyBorder="1" applyAlignment="1">
      <alignment/>
    </xf>
    <xf numFmtId="1" fontId="23" fillId="0" borderId="8" xfId="0" applyNumberFormat="1" applyFont="1" applyBorder="1" applyAlignment="1">
      <alignment/>
    </xf>
    <xf numFmtId="0" fontId="20" fillId="0" borderId="28" xfId="0" applyFont="1" applyFill="1" applyBorder="1" applyAlignment="1">
      <alignment horizontal="left"/>
    </xf>
    <xf numFmtId="0" fontId="20" fillId="0" borderId="28" xfId="0" applyFont="1" applyFill="1" applyBorder="1" applyAlignment="1">
      <alignment horizontal="center"/>
    </xf>
    <xf numFmtId="165" fontId="11" fillId="0" borderId="8" xfId="0" applyNumberFormat="1" applyFont="1" applyBorder="1" applyAlignment="1">
      <alignment horizontal="center"/>
    </xf>
    <xf numFmtId="170" fontId="11" fillId="0" borderId="8" xfId="0" applyNumberFormat="1" applyFont="1" applyBorder="1" applyAlignment="1">
      <alignment horizontal="center"/>
    </xf>
    <xf numFmtId="0" fontId="11" fillId="0" borderId="0" xfId="0" applyFont="1" applyFill="1" applyAlignment="1">
      <alignment horizontal="center"/>
    </xf>
    <xf numFmtId="0" fontId="11" fillId="0" borderId="39" xfId="0" applyFont="1" applyFill="1" applyBorder="1" applyAlignment="1">
      <alignment horizontal="center"/>
    </xf>
    <xf numFmtId="170" fontId="23" fillId="0" borderId="8" xfId="0" applyNumberFormat="1" applyFont="1" applyBorder="1" applyAlignment="1">
      <alignment horizontal="center"/>
    </xf>
    <xf numFmtId="0" fontId="11" fillId="0" borderId="0" xfId="0" applyFont="1" applyAlignment="1">
      <alignment horizontal="center"/>
    </xf>
    <xf numFmtId="2" fontId="11" fillId="0" borderId="8" xfId="0" applyNumberFormat="1" applyFont="1" applyBorder="1" applyAlignment="1">
      <alignment horizontal="center"/>
    </xf>
    <xf numFmtId="2" fontId="0" fillId="0" borderId="8" xfId="0" applyNumberFormat="1" applyBorder="1" applyAlignment="1">
      <alignment/>
    </xf>
    <xf numFmtId="2" fontId="22" fillId="0" borderId="8" xfId="0" applyNumberFormat="1" applyFont="1" applyBorder="1" applyAlignment="1">
      <alignment/>
    </xf>
    <xf numFmtId="2" fontId="17" fillId="0" borderId="8" xfId="0" applyNumberFormat="1" applyFont="1" applyBorder="1" applyAlignment="1">
      <alignment/>
    </xf>
    <xf numFmtId="2" fontId="4" fillId="0" borderId="8" xfId="0" applyNumberFormat="1" applyFont="1" applyBorder="1" applyAlignment="1">
      <alignment/>
    </xf>
    <xf numFmtId="0" fontId="0" fillId="0" borderId="14" xfId="0" applyFont="1" applyBorder="1" applyAlignment="1">
      <alignment horizontal="left" wrapText="1"/>
    </xf>
    <xf numFmtId="0" fontId="0" fillId="0" borderId="14" xfId="0" applyFont="1" applyBorder="1" applyAlignment="1">
      <alignment horizontal="left"/>
    </xf>
    <xf numFmtId="0" fontId="0" fillId="0" borderId="69" xfId="0" applyFont="1" applyBorder="1" applyAlignment="1">
      <alignment/>
    </xf>
    <xf numFmtId="0" fontId="0" fillId="0" borderId="41" xfId="0" applyFont="1" applyBorder="1" applyAlignment="1">
      <alignment horizontal="left"/>
    </xf>
    <xf numFmtId="0" fontId="0" fillId="0" borderId="57" xfId="0" applyFont="1" applyBorder="1" applyAlignment="1">
      <alignment/>
    </xf>
    <xf numFmtId="2" fontId="24" fillId="0" borderId="8" xfId="0" applyNumberFormat="1" applyFont="1" applyBorder="1" applyAlignment="1">
      <alignment/>
    </xf>
    <xf numFmtId="0" fontId="25" fillId="0" borderId="28" xfId="0" applyFont="1" applyFill="1" applyBorder="1" applyAlignment="1">
      <alignment horizontal="left"/>
    </xf>
    <xf numFmtId="0" fontId="0" fillId="0" borderId="13" xfId="0" applyBorder="1" applyAlignment="1">
      <alignment/>
    </xf>
    <xf numFmtId="0" fontId="11" fillId="0" borderId="58" xfId="0" applyFont="1" applyBorder="1" applyAlignment="1">
      <alignment/>
    </xf>
    <xf numFmtId="1" fontId="11" fillId="0" borderId="59" xfId="0" applyNumberFormat="1" applyFont="1" applyBorder="1" applyAlignment="1">
      <alignment/>
    </xf>
    <xf numFmtId="164" fontId="11" fillId="0" borderId="59" xfId="0" applyNumberFormat="1" applyFont="1" applyBorder="1" applyAlignment="1">
      <alignment/>
    </xf>
    <xf numFmtId="1" fontId="11" fillId="0" borderId="59" xfId="0" applyNumberFormat="1" applyFont="1" applyFill="1" applyBorder="1" applyAlignment="1">
      <alignment/>
    </xf>
    <xf numFmtId="0" fontId="18" fillId="0" borderId="59" xfId="0" applyFont="1" applyBorder="1" applyAlignment="1">
      <alignment/>
    </xf>
    <xf numFmtId="0" fontId="8" fillId="0" borderId="70" xfId="0" applyFont="1" applyBorder="1" applyAlignment="1">
      <alignment/>
    </xf>
    <xf numFmtId="164" fontId="11" fillId="0" borderId="59" xfId="0" applyNumberFormat="1" applyFont="1" applyFill="1" applyBorder="1" applyAlignment="1">
      <alignment/>
    </xf>
    <xf numFmtId="3" fontId="11" fillId="0" borderId="8" xfId="0" applyNumberFormat="1" applyFont="1" applyFill="1" applyBorder="1" applyAlignment="1">
      <alignment/>
    </xf>
    <xf numFmtId="3" fontId="11" fillId="0" borderId="53" xfId="0" applyNumberFormat="1" applyFont="1" applyFill="1" applyBorder="1" applyAlignment="1">
      <alignment/>
    </xf>
    <xf numFmtId="0" fontId="0" fillId="0" borderId="38" xfId="0" applyBorder="1" applyAlignment="1">
      <alignment/>
    </xf>
    <xf numFmtId="2" fontId="23" fillId="0" borderId="67" xfId="0" applyNumberFormat="1" applyFont="1" applyBorder="1" applyAlignment="1">
      <alignment horizontal="right"/>
    </xf>
    <xf numFmtId="165" fontId="11" fillId="0" borderId="37" xfId="0" applyNumberFormat="1" applyFont="1" applyBorder="1" applyAlignment="1">
      <alignment/>
    </xf>
    <xf numFmtId="0" fontId="11" fillId="0" borderId="36" xfId="0" applyFont="1" applyBorder="1" applyAlignment="1">
      <alignment/>
    </xf>
    <xf numFmtId="0" fontId="11" fillId="0" borderId="8" xfId="0" applyFont="1" applyBorder="1" applyAlignment="1">
      <alignment/>
    </xf>
    <xf numFmtId="0" fontId="11" fillId="0" borderId="37" xfId="0" applyFont="1" applyBorder="1" applyAlignment="1">
      <alignment/>
    </xf>
    <xf numFmtId="165" fontId="11" fillId="0" borderId="0" xfId="0" applyNumberFormat="1" applyFont="1" applyBorder="1" applyAlignment="1">
      <alignment/>
    </xf>
    <xf numFmtId="0" fontId="11" fillId="0" borderId="71" xfId="0" applyFont="1" applyBorder="1" applyAlignment="1">
      <alignment/>
    </xf>
    <xf numFmtId="0" fontId="11" fillId="0" borderId="62" xfId="0" applyFont="1" applyBorder="1" applyAlignment="1">
      <alignment/>
    </xf>
    <xf numFmtId="0" fontId="11" fillId="0" borderId="72" xfId="0" applyFont="1" applyBorder="1" applyAlignment="1">
      <alignment/>
    </xf>
    <xf numFmtId="0" fontId="11" fillId="0" borderId="73" xfId="0" applyFont="1" applyBorder="1" applyAlignment="1">
      <alignment/>
    </xf>
    <xf numFmtId="173" fontId="0" fillId="0" borderId="72" xfId="0" applyNumberFormat="1" applyBorder="1" applyAlignment="1">
      <alignment/>
    </xf>
    <xf numFmtId="173" fontId="0" fillId="0" borderId="36" xfId="0" applyNumberFormat="1" applyBorder="1" applyAlignment="1">
      <alignment/>
    </xf>
    <xf numFmtId="173" fontId="0" fillId="0" borderId="74" xfId="0" applyNumberFormat="1" applyBorder="1" applyAlignment="1">
      <alignment/>
    </xf>
    <xf numFmtId="0" fontId="0" fillId="0" borderId="72" xfId="0" applyBorder="1" applyAlignment="1">
      <alignment/>
    </xf>
    <xf numFmtId="0" fontId="0" fillId="0" borderId="36" xfId="0" applyBorder="1" applyAlignment="1">
      <alignment/>
    </xf>
    <xf numFmtId="0" fontId="0" fillId="0" borderId="74" xfId="0" applyBorder="1" applyAlignment="1">
      <alignment/>
    </xf>
    <xf numFmtId="0" fontId="11" fillId="0" borderId="49" xfId="0" applyFont="1" applyBorder="1" applyAlignment="1">
      <alignment/>
    </xf>
    <xf numFmtId="0" fontId="26" fillId="0" borderId="19" xfId="0" applyFont="1" applyBorder="1" applyAlignment="1">
      <alignment/>
    </xf>
    <xf numFmtId="0" fontId="0" fillId="7" borderId="0" xfId="0" applyFill="1" applyAlignment="1">
      <alignment/>
    </xf>
    <xf numFmtId="0" fontId="24" fillId="7" borderId="0" xfId="0" applyFont="1" applyFill="1" applyBorder="1" applyAlignment="1">
      <alignment/>
    </xf>
    <xf numFmtId="0" fontId="0" fillId="5" borderId="0" xfId="0" applyFill="1" applyAlignment="1">
      <alignment/>
    </xf>
    <xf numFmtId="0" fontId="24" fillId="5" borderId="0" xfId="0" applyFont="1" applyFill="1" applyBorder="1" applyAlignment="1">
      <alignment/>
    </xf>
    <xf numFmtId="2" fontId="0" fillId="5" borderId="0" xfId="0" applyNumberFormat="1" applyFill="1" applyBorder="1" applyAlignment="1">
      <alignment/>
    </xf>
    <xf numFmtId="0" fontId="0" fillId="5" borderId="0" xfId="0" applyFill="1" applyBorder="1" applyAlignment="1">
      <alignment/>
    </xf>
    <xf numFmtId="173" fontId="11" fillId="0" borderId="8" xfId="0" applyNumberFormat="1" applyFont="1" applyBorder="1" applyAlignment="1">
      <alignment horizontal="center"/>
    </xf>
    <xf numFmtId="0" fontId="11" fillId="0" borderId="8" xfId="0" applyFont="1" applyBorder="1" applyAlignment="1">
      <alignment horizontal="center"/>
    </xf>
    <xf numFmtId="0" fontId="0" fillId="0" borderId="0" xfId="0" applyFont="1" applyAlignment="1">
      <alignment horizontal="center"/>
    </xf>
    <xf numFmtId="0" fontId="0" fillId="0" borderId="0" xfId="0" applyFont="1" applyAlignment="1">
      <alignment horizontal="center"/>
    </xf>
    <xf numFmtId="0" fontId="0" fillId="0" borderId="0" xfId="0" applyFont="1" applyAlignment="1">
      <alignment horizontal="center"/>
    </xf>
    <xf numFmtId="1" fontId="0" fillId="0" borderId="0" xfId="22" applyNumberFormat="1" applyFont="1" applyFill="1" applyBorder="1" applyAlignment="1">
      <alignment horizontal="center"/>
      <protection/>
    </xf>
    <xf numFmtId="0" fontId="12" fillId="0" borderId="0" xfId="0" applyFont="1" applyAlignment="1">
      <alignment horizontal="center"/>
    </xf>
    <xf numFmtId="0" fontId="11" fillId="0" borderId="28" xfId="0" applyFont="1" applyFill="1" applyBorder="1" applyAlignment="1">
      <alignment horizontal="center"/>
    </xf>
    <xf numFmtId="0" fontId="11" fillId="0" borderId="0" xfId="0" applyFont="1" applyFill="1" applyBorder="1" applyAlignment="1">
      <alignment/>
    </xf>
    <xf numFmtId="0" fontId="11" fillId="0" borderId="29" xfId="0" applyFont="1" applyFill="1" applyBorder="1" applyAlignment="1">
      <alignment horizontal="center" wrapText="1"/>
    </xf>
    <xf numFmtId="0" fontId="11" fillId="0" borderId="75" xfId="0" applyFont="1" applyFill="1" applyBorder="1" applyAlignment="1">
      <alignment horizontal="center" wrapText="1"/>
    </xf>
    <xf numFmtId="0" fontId="27" fillId="0" borderId="0" xfId="0" applyFont="1" applyAlignment="1">
      <alignment/>
    </xf>
    <xf numFmtId="0" fontId="12" fillId="0" borderId="8" xfId="0" applyFont="1" applyBorder="1" applyAlignment="1">
      <alignment/>
    </xf>
    <xf numFmtId="0" fontId="12" fillId="0" borderId="8" xfId="0" applyFont="1" applyBorder="1" applyAlignment="1">
      <alignment/>
    </xf>
    <xf numFmtId="0" fontId="12" fillId="0" borderId="8" xfId="0" applyFont="1" applyBorder="1" applyAlignment="1">
      <alignment horizontal="center"/>
    </xf>
    <xf numFmtId="0" fontId="0" fillId="0" borderId="0" xfId="0" applyBorder="1" applyAlignment="1">
      <alignment/>
    </xf>
    <xf numFmtId="173" fontId="0" fillId="0" borderId="0" xfId="0" applyNumberFormat="1" applyBorder="1" applyAlignment="1">
      <alignment/>
    </xf>
    <xf numFmtId="0" fontId="0" fillId="0" borderId="8" xfId="0" applyFont="1" applyBorder="1" applyAlignment="1">
      <alignment horizontal="center"/>
    </xf>
    <xf numFmtId="0" fontId="0" fillId="0" borderId="8" xfId="0" applyFont="1" applyBorder="1" applyAlignment="1">
      <alignment horizontal="center"/>
    </xf>
    <xf numFmtId="0" fontId="0" fillId="0" borderId="8" xfId="0" applyFont="1" applyBorder="1" applyAlignment="1">
      <alignment horizontal="center"/>
    </xf>
    <xf numFmtId="0" fontId="0" fillId="0" borderId="8" xfId="22" applyFont="1" applyBorder="1" applyAlignment="1">
      <alignment horizontal="center"/>
      <protection/>
    </xf>
    <xf numFmtId="1" fontId="0" fillId="0" borderId="8" xfId="22" applyNumberFormat="1" applyFont="1" applyFill="1" applyBorder="1" applyAlignment="1">
      <alignment horizontal="center"/>
      <protection/>
    </xf>
    <xf numFmtId="11" fontId="8" fillId="0" borderId="8" xfId="0" applyNumberFormat="1" applyFont="1" applyBorder="1" applyAlignment="1">
      <alignment horizontal="center"/>
    </xf>
    <xf numFmtId="0" fontId="0" fillId="5" borderId="0" xfId="0" applyFont="1" applyFill="1" applyAlignment="1">
      <alignment/>
    </xf>
    <xf numFmtId="0" fontId="12" fillId="0" borderId="8" xfId="0" applyFont="1" applyFill="1" applyBorder="1" applyAlignment="1">
      <alignment/>
    </xf>
    <xf numFmtId="0" fontId="12" fillId="0" borderId="8" xfId="0" applyFont="1" applyBorder="1" applyAlignment="1">
      <alignment/>
    </xf>
    <xf numFmtId="0" fontId="0" fillId="0" borderId="38" xfId="0" applyFont="1" applyBorder="1" applyAlignment="1">
      <alignment horizontal="center"/>
    </xf>
    <xf numFmtId="14" fontId="0" fillId="0" borderId="0" xfId="0" applyNumberFormat="1" applyAlignment="1">
      <alignment horizontal="center"/>
    </xf>
    <xf numFmtId="0" fontId="4" fillId="0" borderId="8" xfId="0" applyNumberFormat="1" applyFont="1" applyBorder="1" applyAlignment="1">
      <alignment horizontal="center"/>
    </xf>
    <xf numFmtId="0" fontId="0" fillId="0" borderId="8" xfId="0" applyNumberFormat="1" applyFont="1" applyBorder="1" applyAlignment="1">
      <alignment horizontal="center"/>
    </xf>
    <xf numFmtId="0" fontId="0" fillId="0" borderId="8" xfId="0" applyNumberFormat="1" applyBorder="1" applyAlignment="1">
      <alignment horizontal="center"/>
    </xf>
    <xf numFmtId="0" fontId="0" fillId="0" borderId="38" xfId="0" applyNumberFormat="1" applyBorder="1" applyAlignment="1">
      <alignment horizontal="center"/>
    </xf>
    <xf numFmtId="0" fontId="0" fillId="0" borderId="8" xfId="0" applyFont="1" applyFill="1" applyBorder="1" applyAlignment="1">
      <alignment horizontal="center"/>
    </xf>
    <xf numFmtId="14" fontId="0" fillId="0" borderId="8" xfId="0" applyNumberFormat="1" applyFill="1" applyBorder="1" applyAlignment="1">
      <alignment horizontal="center"/>
    </xf>
    <xf numFmtId="165" fontId="16" fillId="0" borderId="8" xfId="0" applyNumberFormat="1" applyFont="1" applyBorder="1" applyAlignment="1">
      <alignment wrapText="1"/>
    </xf>
    <xf numFmtId="0" fontId="29" fillId="5" borderId="0" xfId="0" applyFont="1" applyFill="1" applyAlignment="1">
      <alignment/>
    </xf>
    <xf numFmtId="0" fontId="29" fillId="5" borderId="8" xfId="0" applyFont="1" applyFill="1" applyBorder="1" applyAlignment="1">
      <alignment/>
    </xf>
    <xf numFmtId="2" fontId="29" fillId="5" borderId="8" xfId="0" applyNumberFormat="1" applyFont="1" applyFill="1" applyBorder="1" applyAlignment="1">
      <alignment/>
    </xf>
    <xf numFmtId="0" fontId="29" fillId="5" borderId="6" xfId="0" applyFont="1" applyFill="1" applyBorder="1" applyAlignment="1">
      <alignment/>
    </xf>
    <xf numFmtId="0" fontId="29" fillId="7" borderId="8" xfId="0" applyFont="1" applyFill="1" applyBorder="1" applyAlignment="1">
      <alignment/>
    </xf>
    <xf numFmtId="226" fontId="29" fillId="5" borderId="8" xfId="0" applyNumberFormat="1" applyFont="1" applyFill="1" applyBorder="1" applyAlignment="1">
      <alignment/>
    </xf>
    <xf numFmtId="226" fontId="29" fillId="5" borderId="6" xfId="0" applyNumberFormat="1" applyFont="1" applyFill="1" applyBorder="1" applyAlignment="1">
      <alignment/>
    </xf>
    <xf numFmtId="226" fontId="29" fillId="7" borderId="8" xfId="0" applyNumberFormat="1" applyFont="1" applyFill="1" applyBorder="1" applyAlignment="1">
      <alignment/>
    </xf>
    <xf numFmtId="0" fontId="29" fillId="0" borderId="8" xfId="0" applyFont="1" applyBorder="1" applyAlignment="1">
      <alignment/>
    </xf>
    <xf numFmtId="0" fontId="29" fillId="0" borderId="14" xfId="0" applyFont="1" applyBorder="1" applyAlignment="1">
      <alignment horizontal="left" wrapText="1"/>
    </xf>
    <xf numFmtId="0" fontId="29" fillId="0" borderId="69" xfId="0" applyFont="1" applyBorder="1" applyAlignment="1">
      <alignment horizontal="left"/>
    </xf>
    <xf numFmtId="0" fontId="29" fillId="0" borderId="69" xfId="0" applyFont="1" applyBorder="1" applyAlignment="1">
      <alignment horizontal="left" wrapText="1"/>
    </xf>
    <xf numFmtId="0" fontId="29" fillId="0" borderId="14" xfId="0" applyFont="1" applyBorder="1" applyAlignment="1">
      <alignment horizontal="left"/>
    </xf>
    <xf numFmtId="0" fontId="29" fillId="0" borderId="69" xfId="0" applyFont="1" applyBorder="1" applyAlignment="1">
      <alignment/>
    </xf>
    <xf numFmtId="165" fontId="29" fillId="0" borderId="69" xfId="0" applyNumberFormat="1" applyFont="1" applyBorder="1" applyAlignment="1">
      <alignment/>
    </xf>
    <xf numFmtId="0" fontId="29" fillId="0" borderId="41" xfId="0" applyFont="1" applyBorder="1" applyAlignment="1">
      <alignment horizontal="left"/>
    </xf>
    <xf numFmtId="0" fontId="29" fillId="0" borderId="57" xfId="0" applyFont="1" applyBorder="1" applyAlignment="1">
      <alignment/>
    </xf>
    <xf numFmtId="0" fontId="29" fillId="5" borderId="8" xfId="0" applyFont="1" applyFill="1" applyBorder="1" applyAlignment="1">
      <alignment/>
    </xf>
    <xf numFmtId="14" fontId="29" fillId="5" borderId="8" xfId="0" applyNumberFormat="1" applyFont="1" applyFill="1" applyBorder="1" applyAlignment="1">
      <alignment/>
    </xf>
    <xf numFmtId="2" fontId="29" fillId="5" borderId="8" xfId="0" applyNumberFormat="1" applyFont="1" applyFill="1" applyBorder="1" applyAlignment="1">
      <alignment/>
    </xf>
    <xf numFmtId="0" fontId="30" fillId="5" borderId="8" xfId="0" applyFont="1" applyFill="1" applyBorder="1" applyAlignment="1">
      <alignment/>
    </xf>
    <xf numFmtId="0" fontId="29" fillId="5" borderId="6" xfId="0" applyFont="1" applyFill="1" applyBorder="1" applyAlignment="1">
      <alignment/>
    </xf>
    <xf numFmtId="0" fontId="29" fillId="7" borderId="8" xfId="0" applyFont="1" applyFill="1" applyBorder="1" applyAlignment="1">
      <alignment/>
    </xf>
    <xf numFmtId="2" fontId="29" fillId="7" borderId="8" xfId="0" applyNumberFormat="1" applyFont="1" applyFill="1" applyBorder="1" applyAlignment="1">
      <alignment/>
    </xf>
    <xf numFmtId="0" fontId="5" fillId="5" borderId="8" xfId="0" applyFont="1" applyFill="1" applyBorder="1" applyAlignment="1">
      <alignment/>
    </xf>
    <xf numFmtId="0" fontId="29" fillId="5" borderId="8" xfId="0" applyNumberFormat="1" applyFont="1" applyFill="1" applyBorder="1" applyAlignment="1">
      <alignment/>
    </xf>
    <xf numFmtId="2" fontId="5" fillId="5" borderId="8" xfId="0" applyNumberFormat="1" applyFont="1" applyFill="1" applyBorder="1" applyAlignment="1">
      <alignment/>
    </xf>
    <xf numFmtId="0" fontId="29" fillId="5" borderId="8" xfId="0" applyFont="1" applyFill="1" applyBorder="1" applyAlignment="1">
      <alignment horizontal="right"/>
    </xf>
    <xf numFmtId="0" fontId="31" fillId="5" borderId="8" xfId="0" applyFont="1" applyFill="1" applyBorder="1" applyAlignment="1">
      <alignment horizontal="right"/>
    </xf>
    <xf numFmtId="0" fontId="32" fillId="5" borderId="8" xfId="0" applyFont="1" applyFill="1" applyBorder="1" applyAlignment="1">
      <alignment/>
    </xf>
    <xf numFmtId="0" fontId="5" fillId="5" borderId="6" xfId="0" applyFont="1" applyFill="1" applyBorder="1" applyAlignment="1">
      <alignment/>
    </xf>
    <xf numFmtId="0" fontId="5" fillId="7" borderId="8" xfId="0" applyFont="1" applyFill="1" applyBorder="1" applyAlignment="1">
      <alignment/>
    </xf>
    <xf numFmtId="0" fontId="32" fillId="7" borderId="8" xfId="0" applyFont="1" applyFill="1" applyBorder="1" applyAlignment="1">
      <alignment/>
    </xf>
    <xf numFmtId="0" fontId="33" fillId="5" borderId="8" xfId="0" applyFont="1" applyFill="1" applyBorder="1" applyAlignment="1">
      <alignment/>
    </xf>
    <xf numFmtId="0" fontId="30" fillId="5" borderId="8" xfId="0" applyFont="1" applyFill="1" applyBorder="1" applyAlignment="1">
      <alignment horizontal="right"/>
    </xf>
    <xf numFmtId="2" fontId="5" fillId="7" borderId="8" xfId="0" applyNumberFormat="1" applyFont="1" applyFill="1" applyBorder="1" applyAlignment="1">
      <alignment/>
    </xf>
    <xf numFmtId="0" fontId="30" fillId="7" borderId="8" xfId="0" applyFont="1" applyFill="1" applyBorder="1" applyAlignment="1">
      <alignment/>
    </xf>
    <xf numFmtId="0" fontId="5" fillId="5" borderId="8" xfId="0" applyNumberFormat="1" applyFont="1" applyFill="1" applyBorder="1" applyAlignment="1">
      <alignment/>
    </xf>
    <xf numFmtId="0" fontId="5" fillId="5" borderId="8" xfId="0" applyFont="1" applyFill="1" applyBorder="1" applyAlignment="1">
      <alignment horizontal="right"/>
    </xf>
    <xf numFmtId="2" fontId="5" fillId="5" borderId="8" xfId="0" applyNumberFormat="1" applyFont="1" applyFill="1" applyBorder="1" applyAlignment="1">
      <alignment horizontal="right"/>
    </xf>
    <xf numFmtId="170" fontId="5" fillId="7" borderId="8" xfId="0" applyNumberFormat="1" applyFont="1" applyFill="1" applyBorder="1" applyAlignment="1">
      <alignment/>
    </xf>
    <xf numFmtId="0" fontId="29" fillId="5" borderId="8" xfId="0" applyNumberFormat="1" applyFont="1" applyFill="1" applyBorder="1" applyAlignment="1">
      <alignment horizontal="right"/>
    </xf>
    <xf numFmtId="0" fontId="31" fillId="5" borderId="8" xfId="0" applyFont="1" applyFill="1" applyBorder="1" applyAlignment="1">
      <alignment/>
    </xf>
    <xf numFmtId="11" fontId="5" fillId="5" borderId="8" xfId="0" applyNumberFormat="1" applyFont="1" applyFill="1" applyBorder="1" applyAlignment="1">
      <alignment/>
    </xf>
    <xf numFmtId="11" fontId="29" fillId="5" borderId="8" xfId="0" applyNumberFormat="1" applyFont="1" applyFill="1" applyBorder="1" applyAlignment="1">
      <alignment horizontal="right"/>
    </xf>
    <xf numFmtId="0" fontId="29" fillId="7" borderId="8" xfId="0" applyFont="1" applyFill="1" applyBorder="1" applyAlignment="1">
      <alignment horizontal="center"/>
    </xf>
    <xf numFmtId="11" fontId="5" fillId="7" borderId="8" xfId="0" applyNumberFormat="1" applyFont="1" applyFill="1" applyBorder="1" applyAlignment="1">
      <alignment/>
    </xf>
    <xf numFmtId="0" fontId="31" fillId="5" borderId="6" xfId="0" applyFont="1" applyFill="1" applyBorder="1" applyAlignment="1">
      <alignment/>
    </xf>
    <xf numFmtId="0" fontId="31" fillId="7" borderId="8" xfId="0" applyFont="1" applyFill="1" applyBorder="1" applyAlignment="1">
      <alignment/>
    </xf>
    <xf numFmtId="0" fontId="34" fillId="5" borderId="8" xfId="0" applyFont="1" applyFill="1" applyBorder="1" applyAlignment="1">
      <alignment/>
    </xf>
    <xf numFmtId="0" fontId="35" fillId="5" borderId="8" xfId="0" applyFont="1" applyFill="1" applyBorder="1" applyAlignment="1">
      <alignment/>
    </xf>
    <xf numFmtId="0" fontId="34" fillId="5" borderId="6" xfId="0" applyFont="1" applyFill="1" applyBorder="1" applyAlignment="1">
      <alignment/>
    </xf>
    <xf numFmtId="0" fontId="34" fillId="7" borderId="8" xfId="0" applyFont="1" applyFill="1" applyBorder="1" applyAlignment="1">
      <alignment/>
    </xf>
    <xf numFmtId="0" fontId="35" fillId="7" borderId="8" xfId="0" applyFont="1" applyFill="1" applyBorder="1" applyAlignment="1">
      <alignment/>
    </xf>
    <xf numFmtId="0" fontId="5" fillId="5" borderId="8" xfId="0" applyFont="1" applyFill="1" applyBorder="1" applyAlignment="1">
      <alignment/>
    </xf>
    <xf numFmtId="0" fontId="5" fillId="7" borderId="8" xfId="0" applyFont="1" applyFill="1" applyBorder="1" applyAlignment="1">
      <alignment/>
    </xf>
    <xf numFmtId="2" fontId="29" fillId="5" borderId="6" xfId="0" applyNumberFormat="1" applyFont="1" applyFill="1" applyBorder="1" applyAlignment="1">
      <alignment/>
    </xf>
    <xf numFmtId="0" fontId="0" fillId="0" borderId="28" xfId="0" applyFont="1" applyBorder="1" applyAlignment="1">
      <alignment horizontal="center" wrapText="1"/>
    </xf>
    <xf numFmtId="0" fontId="0" fillId="0" borderId="28" xfId="0" applyFont="1" applyFill="1" applyBorder="1" applyAlignment="1">
      <alignment horizontal="center" wrapText="1"/>
    </xf>
    <xf numFmtId="0" fontId="0" fillId="0" borderId="76" xfId="0" applyFont="1" applyBorder="1" applyAlignment="1">
      <alignment wrapText="1"/>
    </xf>
    <xf numFmtId="164" fontId="0" fillId="0" borderId="8" xfId="0" applyNumberFormat="1" applyFont="1" applyBorder="1" applyAlignment="1">
      <alignment horizontal="right"/>
    </xf>
    <xf numFmtId="164" fontId="0" fillId="0" borderId="8" xfId="0" applyNumberFormat="1" applyFont="1" applyFill="1" applyBorder="1" applyAlignment="1">
      <alignment horizontal="right"/>
    </xf>
    <xf numFmtId="164" fontId="0" fillId="0" borderId="8" xfId="0" applyNumberFormat="1" applyFont="1" applyBorder="1" applyAlignment="1">
      <alignment/>
    </xf>
    <xf numFmtId="165" fontId="0" fillId="0" borderId="8" xfId="0" applyNumberFormat="1" applyFont="1" applyBorder="1" applyAlignment="1">
      <alignment horizontal="right"/>
    </xf>
    <xf numFmtId="164" fontId="36" fillId="0" borderId="8" xfId="0" applyNumberFormat="1" applyFont="1" applyBorder="1" applyAlignment="1">
      <alignment horizontal="right"/>
    </xf>
    <xf numFmtId="0" fontId="0" fillId="0" borderId="8" xfId="0" applyFont="1" applyBorder="1" applyAlignment="1">
      <alignment horizontal="right"/>
    </xf>
    <xf numFmtId="2" fontId="0" fillId="0" borderId="8" xfId="0" applyNumberFormat="1" applyFont="1" applyBorder="1" applyAlignment="1">
      <alignment/>
    </xf>
    <xf numFmtId="1" fontId="0" fillId="0" borderId="8" xfId="0" applyNumberFormat="1" applyFont="1" applyBorder="1" applyAlignment="1">
      <alignment/>
    </xf>
    <xf numFmtId="0" fontId="0" fillId="0" borderId="8" xfId="0" applyFont="1" applyFill="1" applyBorder="1" applyAlignment="1">
      <alignment/>
    </xf>
    <xf numFmtId="0" fontId="0" fillId="0" borderId="8" xfId="0" applyFont="1" applyFill="1" applyBorder="1" applyAlignment="1">
      <alignment horizontal="right"/>
    </xf>
    <xf numFmtId="3" fontId="0" fillId="0" borderId="8" xfId="0" applyNumberFormat="1" applyFont="1" applyBorder="1" applyAlignment="1">
      <alignment horizontal="right"/>
    </xf>
    <xf numFmtId="0" fontId="0" fillId="0" borderId="8" xfId="0" applyNumberFormat="1" applyFont="1" applyBorder="1" applyAlignment="1">
      <alignment horizontal="right"/>
    </xf>
    <xf numFmtId="2" fontId="0" fillId="0" borderId="8" xfId="0" applyNumberFormat="1" applyFont="1" applyBorder="1" applyAlignment="1">
      <alignment horizontal="right"/>
    </xf>
    <xf numFmtId="170" fontId="0" fillId="0" borderId="8" xfId="0" applyNumberFormat="1" applyFont="1" applyBorder="1" applyAlignment="1">
      <alignment horizontal="right"/>
    </xf>
    <xf numFmtId="0" fontId="37" fillId="0" borderId="8" xfId="0" applyFont="1" applyBorder="1" applyAlignment="1">
      <alignment horizontal="right"/>
    </xf>
    <xf numFmtId="0" fontId="37" fillId="0" borderId="8" xfId="0" applyFont="1" applyBorder="1" applyAlignment="1">
      <alignment horizontal="right" wrapText="1"/>
    </xf>
    <xf numFmtId="0" fontId="37" fillId="0" borderId="8" xfId="0" applyFont="1" applyFill="1" applyBorder="1" applyAlignment="1">
      <alignment horizontal="right"/>
    </xf>
    <xf numFmtId="173" fontId="0" fillId="0" borderId="8" xfId="0" applyNumberFormat="1" applyFont="1" applyBorder="1" applyAlignment="1">
      <alignment horizontal="right"/>
    </xf>
    <xf numFmtId="165" fontId="37" fillId="0" borderId="8" xfId="0" applyNumberFormat="1" applyFont="1" applyBorder="1" applyAlignment="1">
      <alignment horizontal="right"/>
    </xf>
    <xf numFmtId="165" fontId="37" fillId="0" borderId="8" xfId="0" applyNumberFormat="1" applyFont="1" applyFill="1" applyBorder="1" applyAlignment="1">
      <alignment horizontal="right"/>
    </xf>
    <xf numFmtId="2" fontId="37" fillId="0" borderId="8" xfId="0" applyNumberFormat="1" applyFont="1" applyBorder="1" applyAlignment="1">
      <alignment horizontal="right"/>
    </xf>
    <xf numFmtId="170" fontId="37" fillId="0" borderId="8" xfId="0" applyNumberFormat="1" applyFont="1" applyBorder="1" applyAlignment="1">
      <alignment horizontal="right"/>
    </xf>
    <xf numFmtId="1" fontId="37" fillId="0" borderId="8" xfId="0" applyNumberFormat="1" applyFont="1" applyBorder="1" applyAlignment="1">
      <alignment horizontal="right"/>
    </xf>
    <xf numFmtId="164" fontId="37" fillId="0" borderId="8" xfId="0" applyNumberFormat="1" applyFont="1" applyBorder="1" applyAlignment="1">
      <alignment horizontal="right"/>
    </xf>
    <xf numFmtId="1" fontId="0" fillId="0" borderId="8" xfId="0" applyNumberFormat="1" applyFont="1" applyBorder="1" applyAlignment="1">
      <alignment horizontal="right"/>
    </xf>
    <xf numFmtId="0" fontId="36" fillId="0" borderId="8" xfId="0" applyFont="1" applyBorder="1" applyAlignment="1">
      <alignment horizontal="right"/>
    </xf>
    <xf numFmtId="1" fontId="36" fillId="0" borderId="8" xfId="0" applyNumberFormat="1" applyFont="1" applyBorder="1" applyAlignment="1">
      <alignment horizontal="right"/>
    </xf>
    <xf numFmtId="164" fontId="0" fillId="0" borderId="41" xfId="0" applyNumberFormat="1" applyFont="1" applyBorder="1" applyAlignment="1">
      <alignment/>
    </xf>
    <xf numFmtId="1" fontId="0" fillId="0" borderId="41" xfId="0" applyNumberFormat="1" applyFont="1" applyBorder="1" applyAlignment="1">
      <alignment/>
    </xf>
    <xf numFmtId="1" fontId="0" fillId="0" borderId="8" xfId="0" applyNumberFormat="1" applyFont="1" applyFill="1" applyBorder="1" applyAlignment="1">
      <alignment/>
    </xf>
    <xf numFmtId="164" fontId="0" fillId="0" borderId="41" xfId="0" applyNumberFormat="1" applyFont="1" applyBorder="1" applyAlignment="1">
      <alignment horizontal="center"/>
    </xf>
    <xf numFmtId="201" fontId="0" fillId="0" borderId="8" xfId="0" applyNumberFormat="1" applyFont="1" applyBorder="1" applyAlignment="1">
      <alignment horizontal="center"/>
    </xf>
    <xf numFmtId="164" fontId="4" fillId="0" borderId="41" xfId="0" applyNumberFormat="1" applyFont="1" applyBorder="1" applyAlignment="1">
      <alignment horizontal="center"/>
    </xf>
    <xf numFmtId="2" fontId="4" fillId="0" borderId="41" xfId="0" applyNumberFormat="1" applyFont="1" applyBorder="1" applyAlignment="1">
      <alignment horizontal="center"/>
    </xf>
    <xf numFmtId="1" fontId="4" fillId="0" borderId="41" xfId="0" applyNumberFormat="1" applyFont="1" applyBorder="1" applyAlignment="1">
      <alignment horizontal="center"/>
    </xf>
    <xf numFmtId="1" fontId="0" fillId="0" borderId="41" xfId="0" applyNumberFormat="1" applyFont="1" applyBorder="1" applyAlignment="1">
      <alignment horizontal="center"/>
    </xf>
    <xf numFmtId="1" fontId="0" fillId="0" borderId="8" xfId="0" applyNumberFormat="1" applyFont="1" applyBorder="1" applyAlignment="1">
      <alignment horizontal="center"/>
    </xf>
    <xf numFmtId="0" fontId="0" fillId="0" borderId="41" xfId="0" applyFont="1" applyBorder="1" applyAlignment="1">
      <alignment horizontal="center"/>
    </xf>
    <xf numFmtId="0" fontId="7" fillId="0" borderId="41" xfId="0" applyFont="1" applyBorder="1" applyAlignment="1">
      <alignment horizontal="center"/>
    </xf>
    <xf numFmtId="0" fontId="4" fillId="0" borderId="77" xfId="0" applyFont="1" applyBorder="1" applyAlignment="1">
      <alignment horizontal="left"/>
    </xf>
    <xf numFmtId="0" fontId="0" fillId="0" borderId="28" xfId="0" applyFont="1" applyFill="1" applyBorder="1" applyAlignment="1">
      <alignment horizontal="left" wrapText="1"/>
    </xf>
    <xf numFmtId="0" fontId="0" fillId="6" borderId="8" xfId="0" applyFont="1" applyFill="1" applyBorder="1" applyAlignment="1">
      <alignment horizontal="left"/>
    </xf>
    <xf numFmtId="0" fontId="0" fillId="8" borderId="8" xfId="0" applyFont="1" applyFill="1" applyBorder="1" applyAlignment="1">
      <alignment horizontal="left"/>
    </xf>
    <xf numFmtId="0" fontId="0" fillId="0" borderId="8" xfId="0" applyFont="1" applyBorder="1" applyAlignment="1">
      <alignment horizontal="left" wrapText="1"/>
    </xf>
    <xf numFmtId="0" fontId="0" fillId="0" borderId="39" xfId="0" applyFont="1" applyBorder="1" applyAlignment="1">
      <alignment horizontal="left"/>
    </xf>
    <xf numFmtId="0" fontId="0" fillId="0" borderId="39" xfId="0" applyFont="1" applyBorder="1" applyAlignment="1">
      <alignment/>
    </xf>
    <xf numFmtId="0" fontId="0" fillId="0" borderId="8" xfId="0" applyFont="1" applyBorder="1" applyAlignment="1">
      <alignment/>
    </xf>
    <xf numFmtId="0" fontId="0" fillId="0" borderId="0" xfId="0" applyFont="1" applyAlignment="1">
      <alignment horizontal="left"/>
    </xf>
    <xf numFmtId="0" fontId="7" fillId="0" borderId="0" xfId="0" applyFont="1" applyFill="1" applyBorder="1" applyAlignment="1">
      <alignment/>
    </xf>
    <xf numFmtId="0" fontId="4" fillId="0" borderId="18" xfId="0" applyFont="1" applyBorder="1" applyAlignment="1">
      <alignment horizontal="center"/>
    </xf>
    <xf numFmtId="0" fontId="4" fillId="0" borderId="18" xfId="0" applyFont="1" applyFill="1" applyBorder="1" applyAlignment="1">
      <alignment horizontal="center"/>
    </xf>
    <xf numFmtId="0" fontId="4" fillId="0" borderId="39" xfId="0" applyFont="1" applyBorder="1" applyAlignment="1">
      <alignment horizontal="center"/>
    </xf>
    <xf numFmtId="0" fontId="28" fillId="0" borderId="18" xfId="0" applyFont="1" applyFill="1" applyBorder="1" applyAlignment="1">
      <alignment horizontal="center" wrapText="1"/>
    </xf>
    <xf numFmtId="0" fontId="4" fillId="0" borderId="2" xfId="0" applyFont="1" applyBorder="1" applyAlignment="1">
      <alignment wrapText="1"/>
    </xf>
    <xf numFmtId="0" fontId="4" fillId="0" borderId="76" xfId="0" applyFont="1" applyBorder="1" applyAlignment="1">
      <alignment wrapText="1"/>
    </xf>
    <xf numFmtId="0" fontId="4" fillId="0" borderId="60" xfId="0" applyFont="1" applyBorder="1" applyAlignment="1">
      <alignment wrapText="1"/>
    </xf>
    <xf numFmtId="0" fontId="4" fillId="0" borderId="2" xfId="0" applyFont="1" applyBorder="1" applyAlignment="1">
      <alignment horizontal="center" wrapText="1"/>
    </xf>
    <xf numFmtId="0" fontId="4" fillId="0" borderId="76" xfId="0" applyFont="1" applyBorder="1" applyAlignment="1">
      <alignment horizontal="center" wrapText="1"/>
    </xf>
    <xf numFmtId="0" fontId="4" fillId="0" borderId="60" xfId="0" applyFont="1" applyBorder="1" applyAlignment="1">
      <alignment horizontal="center" wrapText="1"/>
    </xf>
    <xf numFmtId="0" fontId="8" fillId="0" borderId="13" xfId="0" applyFont="1" applyBorder="1" applyAlignment="1">
      <alignment horizontal="center"/>
    </xf>
    <xf numFmtId="0" fontId="8" fillId="0" borderId="78" xfId="0" applyFont="1" applyBorder="1" applyAlignment="1">
      <alignment horizontal="center"/>
    </xf>
    <xf numFmtId="0" fontId="11" fillId="0" borderId="79" xfId="0" applyFont="1" applyFill="1" applyBorder="1" applyAlignment="1">
      <alignment horizontal="center" wrapText="1"/>
    </xf>
    <xf numFmtId="0" fontId="11" fillId="0" borderId="63" xfId="0" applyFont="1" applyFill="1" applyBorder="1" applyAlignment="1">
      <alignment horizontal="center" wrapText="1"/>
    </xf>
    <xf numFmtId="0" fontId="4" fillId="0" borderId="80" xfId="0" applyFont="1" applyBorder="1" applyAlignment="1">
      <alignment horizontal="center" wrapText="1"/>
    </xf>
    <xf numFmtId="0" fontId="4" fillId="0" borderId="81" xfId="0" applyFont="1" applyBorder="1" applyAlignment="1">
      <alignment horizontal="center" wrapText="1"/>
    </xf>
    <xf numFmtId="0" fontId="7" fillId="0" borderId="82" xfId="0" applyFont="1" applyBorder="1" applyAlignment="1">
      <alignment horizontal="center" wrapText="1"/>
    </xf>
    <xf numFmtId="0" fontId="0" fillId="0" borderId="83" xfId="0" applyBorder="1" applyAlignment="1">
      <alignment/>
    </xf>
    <xf numFmtId="0" fontId="0" fillId="0" borderId="35" xfId="0" applyBorder="1" applyAlignment="1">
      <alignment/>
    </xf>
    <xf numFmtId="0" fontId="8" fillId="0" borderId="70" xfId="0" applyFont="1" applyBorder="1" applyAlignment="1">
      <alignment horizontal="center"/>
    </xf>
    <xf numFmtId="0" fontId="0" fillId="0" borderId="13" xfId="0" applyBorder="1" applyAlignment="1">
      <alignment horizontal="center"/>
    </xf>
    <xf numFmtId="0" fontId="0" fillId="0" borderId="78" xfId="0" applyBorder="1" applyAlignment="1">
      <alignment horizontal="center"/>
    </xf>
    <xf numFmtId="0" fontId="11" fillId="0" borderId="84" xfId="0" applyFont="1" applyFill="1" applyBorder="1" applyAlignment="1">
      <alignment horizontal="center" wrapText="1"/>
    </xf>
    <xf numFmtId="0" fontId="11" fillId="0" borderId="81" xfId="0" applyFont="1" applyFill="1" applyBorder="1" applyAlignment="1">
      <alignment horizontal="center" wrapText="1"/>
    </xf>
    <xf numFmtId="0" fontId="11" fillId="0" borderId="80" xfId="0" applyFont="1" applyFill="1" applyBorder="1" applyAlignment="1">
      <alignment horizontal="center" wrapText="1"/>
    </xf>
    <xf numFmtId="0" fontId="0" fillId="0" borderId="84" xfId="0" applyFill="1" applyBorder="1" applyAlignment="1">
      <alignment horizontal="center" wrapText="1"/>
    </xf>
    <xf numFmtId="0" fontId="0" fillId="0" borderId="85" xfId="0" applyFill="1" applyBorder="1" applyAlignment="1">
      <alignment horizontal="center" wrapText="1"/>
    </xf>
    <xf numFmtId="0" fontId="11" fillId="0" borderId="84" xfId="0" applyFont="1" applyBorder="1" applyAlignment="1">
      <alignment horizontal="center" wrapText="1"/>
    </xf>
    <xf numFmtId="0" fontId="0" fillId="0" borderId="84" xfId="0" applyBorder="1" applyAlignment="1">
      <alignment horizontal="center" wrapText="1"/>
    </xf>
    <xf numFmtId="0" fontId="0" fillId="0" borderId="81" xfId="0" applyBorder="1" applyAlignment="1">
      <alignment horizontal="center" wrapText="1"/>
    </xf>
    <xf numFmtId="0" fontId="11" fillId="0" borderId="80" xfId="0" applyFont="1" applyBorder="1" applyAlignment="1">
      <alignment horizontal="center" wrapText="1"/>
    </xf>
    <xf numFmtId="0" fontId="0" fillId="0" borderId="86" xfId="0" applyBorder="1" applyAlignment="1">
      <alignment horizontal="center" wrapText="1"/>
    </xf>
    <xf numFmtId="0" fontId="11" fillId="0" borderId="3" xfId="0" applyFont="1" applyBorder="1" applyAlignment="1">
      <alignment horizontal="center" wrapText="1"/>
    </xf>
    <xf numFmtId="0" fontId="11" fillId="0" borderId="81" xfId="0" applyFont="1" applyBorder="1" applyAlignment="1">
      <alignment horizontal="center" wrapText="1"/>
    </xf>
    <xf numFmtId="0" fontId="8" fillId="9" borderId="87" xfId="0" applyFont="1" applyFill="1" applyBorder="1" applyAlignment="1">
      <alignment horizontal="center"/>
    </xf>
    <xf numFmtId="0" fontId="0" fillId="9" borderId="46" xfId="0" applyFill="1" applyBorder="1" applyAlignment="1">
      <alignment horizontal="center"/>
    </xf>
    <xf numFmtId="0" fontId="8" fillId="10" borderId="45" xfId="0" applyFont="1" applyFill="1" applyBorder="1" applyAlignment="1">
      <alignment horizontal="center"/>
    </xf>
    <xf numFmtId="0" fontId="0" fillId="10" borderId="46" xfId="0" applyFill="1" applyBorder="1" applyAlignment="1">
      <alignment horizontal="center"/>
    </xf>
    <xf numFmtId="0" fontId="0" fillId="10" borderId="44" xfId="0" applyFill="1" applyBorder="1" applyAlignment="1">
      <alignment horizontal="center"/>
    </xf>
    <xf numFmtId="0" fontId="18" fillId="6" borderId="11" xfId="0" applyFont="1" applyFill="1" applyBorder="1" applyAlignment="1">
      <alignment horizontal="center" wrapText="1"/>
    </xf>
    <xf numFmtId="0" fontId="11" fillId="6" borderId="36" xfId="0" applyFont="1" applyFill="1" applyBorder="1" applyAlignment="1">
      <alignment horizontal="center"/>
    </xf>
    <xf numFmtId="0" fontId="18" fillId="0" borderId="11" xfId="0" applyFont="1" applyFill="1" applyBorder="1" applyAlignment="1">
      <alignment horizontal="left" wrapText="1"/>
    </xf>
    <xf numFmtId="0" fontId="11" fillId="0" borderId="36" xfId="0" applyFont="1" applyFill="1" applyBorder="1" applyAlignment="1">
      <alignment horizontal="left" wrapText="1"/>
    </xf>
    <xf numFmtId="0" fontId="19" fillId="0" borderId="9" xfId="21" applyFont="1" applyBorder="1" applyAlignment="1">
      <alignment horizontal="center"/>
      <protection/>
    </xf>
    <xf numFmtId="0" fontId="19" fillId="0" borderId="27" xfId="21" applyFont="1" applyBorder="1" applyAlignment="1">
      <alignment horizontal="center"/>
      <protection/>
    </xf>
    <xf numFmtId="0" fontId="18" fillId="0" borderId="66" xfId="0" applyFont="1" applyBorder="1" applyAlignment="1">
      <alignment horizontal="center" wrapText="1"/>
    </xf>
    <xf numFmtId="0" fontId="18" fillId="0" borderId="4" xfId="0" applyFont="1" applyBorder="1" applyAlignment="1">
      <alignment horizontal="center" wrapText="1"/>
    </xf>
    <xf numFmtId="0" fontId="18" fillId="6" borderId="88" xfId="0" applyFont="1" applyFill="1" applyBorder="1" applyAlignment="1">
      <alignment horizontal="center" wrapText="1"/>
    </xf>
    <xf numFmtId="0" fontId="11" fillId="6" borderId="72" xfId="0" applyFont="1" applyFill="1" applyBorder="1" applyAlignment="1">
      <alignment horizontal="center"/>
    </xf>
    <xf numFmtId="0" fontId="18" fillId="6" borderId="1" xfId="0" applyFont="1" applyFill="1" applyBorder="1" applyAlignment="1">
      <alignment horizontal="center" wrapText="1"/>
    </xf>
    <xf numFmtId="0" fontId="11" fillId="6" borderId="37" xfId="0" applyFont="1" applyFill="1" applyBorder="1" applyAlignment="1">
      <alignment horizontal="center"/>
    </xf>
    <xf numFmtId="0" fontId="7" fillId="0" borderId="11" xfId="0" applyFont="1" applyFill="1" applyBorder="1" applyAlignment="1">
      <alignment horizontal="center" wrapText="1"/>
    </xf>
    <xf numFmtId="0" fontId="0" fillId="0" borderId="36" xfId="0" applyFont="1" applyFill="1" applyBorder="1" applyAlignment="1">
      <alignment horizontal="center" wrapText="1"/>
    </xf>
    <xf numFmtId="0" fontId="0" fillId="0" borderId="36" xfId="0" applyFont="1" applyFill="1" applyBorder="1" applyAlignment="1">
      <alignment horizontal="center"/>
    </xf>
    <xf numFmtId="0" fontId="7" fillId="0" borderId="11" xfId="0" applyFont="1" applyBorder="1" applyAlignment="1">
      <alignment horizontal="center" wrapText="1"/>
    </xf>
    <xf numFmtId="0" fontId="0" fillId="0" borderId="36" xfId="0" applyFont="1" applyBorder="1" applyAlignment="1">
      <alignment horizontal="center" wrapText="1"/>
    </xf>
    <xf numFmtId="0" fontId="7" fillId="0" borderId="11" xfId="0" applyFont="1" applyFill="1" applyBorder="1" applyAlignment="1">
      <alignment horizontal="left" wrapText="1"/>
    </xf>
    <xf numFmtId="0" fontId="0" fillId="0" borderId="36" xfId="0" applyFont="1" applyFill="1" applyBorder="1" applyAlignment="1">
      <alignment horizontal="left" wrapText="1"/>
    </xf>
    <xf numFmtId="0" fontId="6" fillId="0" borderId="9" xfId="21" applyFont="1" applyBorder="1" applyAlignment="1">
      <alignment horizontal="center"/>
      <protection/>
    </xf>
    <xf numFmtId="0" fontId="6" fillId="0" borderId="27" xfId="21" applyFont="1" applyBorder="1" applyAlignment="1">
      <alignment horizontal="center"/>
      <protection/>
    </xf>
    <xf numFmtId="0" fontId="7" fillId="0" borderId="66" xfId="0" applyFont="1" applyBorder="1" applyAlignment="1">
      <alignment horizontal="center" wrapText="1"/>
    </xf>
    <xf numFmtId="0" fontId="7" fillId="0" borderId="4" xfId="0" applyFont="1" applyBorder="1" applyAlignment="1">
      <alignment horizontal="center" wrapText="1"/>
    </xf>
    <xf numFmtId="0" fontId="7" fillId="0" borderId="88" xfId="0" applyFont="1" applyFill="1" applyBorder="1" applyAlignment="1">
      <alignment horizontal="center" wrapText="1"/>
    </xf>
    <xf numFmtId="0" fontId="0" fillId="0" borderId="72" xfId="0" applyFont="1" applyFill="1" applyBorder="1" applyAlignment="1">
      <alignment horizontal="center"/>
    </xf>
    <xf numFmtId="0" fontId="7" fillId="0" borderId="1" xfId="0" applyFont="1" applyFill="1" applyBorder="1" applyAlignment="1">
      <alignment horizontal="center" wrapText="1"/>
    </xf>
    <xf numFmtId="0" fontId="0" fillId="0" borderId="37" xfId="0" applyFont="1" applyFill="1" applyBorder="1" applyAlignment="1">
      <alignment horizontal="center"/>
    </xf>
    <xf numFmtId="49" fontId="29" fillId="5" borderId="58" xfId="0" applyNumberFormat="1" applyFont="1" applyFill="1" applyBorder="1" applyAlignment="1">
      <alignment/>
    </xf>
    <xf numFmtId="49" fontId="29" fillId="7" borderId="8" xfId="0" applyNumberFormat="1" applyFont="1" applyFill="1"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CTR and NTR" xfId="21"/>
    <cellStyle name="Normal_Rodeo_Phillips66 RPA rev 9_10a"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us.f1.yahoofs.com/JN's%20stuff\San%20Mateo%20City\San%20Mateo%20Data%20199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EXCEL\APLANT\1996JUN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IG1095"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APLANT\EXCEL\ARCHIVE\1995DEC.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A:\Excel\ASUMMARY\1997sum_b&amp;c.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A:\Excel\AFORMS\AWKSRE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n Avg WCL"/>
      <sheetName val="Metals"/>
      <sheetName val="BOD"/>
      <sheetName val="Coli"/>
      <sheetName val="NH3"/>
      <sheetName val="Sett Mat pH"/>
      <sheetName val="Temp DO"/>
      <sheetName val="Toxicity"/>
      <sheetName val="Turb Cl2"/>
      <sheetName val="TS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ACT0696"/>
      <sheetName val="BIO0696"/>
      <sheetName val="CL20696"/>
      <sheetName val="DGEF0696"/>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IG1095"/>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CT1295"/>
    </sheetNames>
    <sheetDataSet>
      <sheetData sheetId="0">
        <row r="9">
          <cell r="B9">
            <v>1250</v>
          </cell>
          <cell r="J9">
            <v>80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LOW"/>
      <sheetName val="RAIN_FLOW"/>
      <sheetName val="GT_DAFTS"/>
      <sheetName val="VF_SLD"/>
      <sheetName val="DGFD_AN"/>
      <sheetName val="DGFD_LD"/>
      <sheetName val="DIG_AN"/>
      <sheetName val="AD"/>
      <sheetName val="#RE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BACT"/>
      <sheetName val="BIOA"/>
      <sheetName val="CL2"/>
      <sheetName val="EFFC"/>
      <sheetName val="EFFG"/>
      <sheetName val="EFSO"/>
      <sheetName val="INF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AE312"/>
  <sheetViews>
    <sheetView workbookViewId="0" topLeftCell="A1">
      <pane xSplit="5" ySplit="8" topLeftCell="F9" activePane="bottomRight" state="frozen"/>
      <selection pane="topLeft" activeCell="A1" sqref="A1"/>
      <selection pane="topRight" activeCell="F1" sqref="F1"/>
      <selection pane="bottomLeft" activeCell="A9" sqref="A9"/>
      <selection pane="bottomRight" activeCell="G17" sqref="G17"/>
    </sheetView>
  </sheetViews>
  <sheetFormatPr defaultColWidth="9.140625" defaultRowHeight="12.75"/>
  <cols>
    <col min="1" max="1" width="8.421875" style="0" customWidth="1"/>
    <col min="2" max="2" width="22.8515625" style="0" customWidth="1"/>
    <col min="3" max="3" width="10.421875" style="0" customWidth="1"/>
    <col min="4" max="4" width="6.28125" style="0" hidden="1" customWidth="1"/>
    <col min="5" max="5" width="6.140625" style="0" hidden="1" customWidth="1"/>
    <col min="6" max="6" width="6.140625" style="0" customWidth="1"/>
    <col min="7" max="7" width="8.57421875" style="0" customWidth="1"/>
    <col min="8" max="8" width="6.28125" style="0" customWidth="1"/>
    <col min="9" max="9" width="6.57421875" style="0" customWidth="1"/>
    <col min="10" max="10" width="4.421875" style="0" customWidth="1"/>
    <col min="11" max="11" width="4.57421875" style="0" customWidth="1"/>
    <col min="12" max="14" width="4.7109375" style="0" customWidth="1"/>
    <col min="15" max="15" width="5.421875" style="0" customWidth="1"/>
    <col min="16" max="16" width="6.28125" style="0" customWidth="1"/>
    <col min="17" max="17" width="7.57421875" style="0" customWidth="1"/>
    <col min="18" max="18" width="6.00390625" style="0" customWidth="1"/>
    <col min="19" max="19" width="7.140625" style="0" customWidth="1"/>
    <col min="20" max="20" width="10.8515625" style="0" customWidth="1"/>
    <col min="21" max="21" width="10.00390625" style="0" customWidth="1"/>
    <col min="22" max="23" width="6.140625" style="34" customWidth="1"/>
    <col min="24" max="24" width="6.00390625" style="34" customWidth="1"/>
    <col min="25" max="25" width="6.7109375" style="34" customWidth="1"/>
    <col min="28" max="28" width="7.421875" style="0" customWidth="1"/>
    <col min="29" max="29" width="7.57421875" style="0" customWidth="1"/>
    <col min="30" max="30" width="9.7109375" style="0" customWidth="1"/>
    <col min="31" max="31" width="10.28125" style="0" customWidth="1"/>
  </cols>
  <sheetData>
    <row r="1" spans="2:4" ht="12.75">
      <c r="B1" s="31" t="s">
        <v>187</v>
      </c>
      <c r="C1" s="107" t="s">
        <v>24</v>
      </c>
      <c r="D1" s="17"/>
    </row>
    <row r="2" spans="2:4" ht="12.75">
      <c r="B2" s="31" t="s">
        <v>188</v>
      </c>
      <c r="C2" s="107">
        <v>400</v>
      </c>
      <c r="D2" s="17" t="s">
        <v>236</v>
      </c>
    </row>
    <row r="3" spans="2:30" ht="12.75">
      <c r="B3" s="31" t="s">
        <v>189</v>
      </c>
      <c r="C3" s="107">
        <v>8.3</v>
      </c>
      <c r="D3" s="17"/>
      <c r="N3" s="405"/>
      <c r="O3" s="405"/>
      <c r="P3" s="405"/>
      <c r="Q3" s="405"/>
      <c r="R3" s="405"/>
      <c r="S3" s="405"/>
      <c r="T3" s="405"/>
      <c r="U3" s="405"/>
      <c r="V3" s="406"/>
      <c r="W3" s="406"/>
      <c r="X3" s="406"/>
      <c r="Y3" s="406"/>
      <c r="Z3" s="405"/>
      <c r="AA3" s="405"/>
      <c r="AB3" s="405"/>
      <c r="AC3" s="405"/>
      <c r="AD3" s="405"/>
    </row>
    <row r="4" spans="2:4" ht="13.5" thickBot="1">
      <c r="B4" s="35"/>
      <c r="C4" s="17"/>
      <c r="D4" s="17"/>
    </row>
    <row r="5" spans="1:21" ht="13.5" customHeight="1" thickBot="1">
      <c r="A5" s="36"/>
      <c r="B5" s="37"/>
      <c r="C5" s="550" t="s">
        <v>150</v>
      </c>
      <c r="D5" s="361" t="s">
        <v>7</v>
      </c>
      <c r="E5" s="355"/>
      <c r="F5" s="544" t="s">
        <v>341</v>
      </c>
      <c r="G5" s="544"/>
      <c r="H5" s="544" t="s">
        <v>7</v>
      </c>
      <c r="I5" s="544"/>
      <c r="J5" s="544"/>
      <c r="K5" s="544"/>
      <c r="L5" s="544"/>
      <c r="M5" s="544"/>
      <c r="N5" s="544"/>
      <c r="O5" s="545"/>
      <c r="P5" s="553" t="s">
        <v>8</v>
      </c>
      <c r="Q5" s="554"/>
      <c r="R5" s="554"/>
      <c r="S5" s="554"/>
      <c r="T5" s="554"/>
      <c r="U5" s="555"/>
    </row>
    <row r="6" spans="1:31" s="40" customFormat="1" ht="24.75" customHeight="1" thickTop="1">
      <c r="A6" s="38"/>
      <c r="B6" s="39"/>
      <c r="C6" s="551"/>
      <c r="D6" s="556" t="s">
        <v>9</v>
      </c>
      <c r="E6" s="557"/>
      <c r="F6" s="546" t="s">
        <v>316</v>
      </c>
      <c r="G6" s="547"/>
      <c r="H6" s="558" t="s">
        <v>191</v>
      </c>
      <c r="I6" s="559"/>
      <c r="J6" s="559"/>
      <c r="K6" s="560"/>
      <c r="L6" s="561" t="s">
        <v>294</v>
      </c>
      <c r="M6" s="562"/>
      <c r="N6" s="562"/>
      <c r="O6" s="563"/>
      <c r="P6" s="564" t="s">
        <v>10</v>
      </c>
      <c r="Q6" s="565"/>
      <c r="R6" s="566" t="s">
        <v>11</v>
      </c>
      <c r="S6" s="565"/>
      <c r="T6" s="566" t="s">
        <v>192</v>
      </c>
      <c r="U6" s="567"/>
      <c r="V6" s="538" t="s">
        <v>237</v>
      </c>
      <c r="W6" s="539"/>
      <c r="X6" s="539"/>
      <c r="Y6" s="540"/>
      <c r="Z6" s="541" t="s">
        <v>12</v>
      </c>
      <c r="AA6" s="542"/>
      <c r="AB6" s="542"/>
      <c r="AC6" s="543"/>
      <c r="AD6" s="548" t="s">
        <v>285</v>
      </c>
      <c r="AE6" s="549"/>
    </row>
    <row r="7" spans="1:31" ht="37.5" customHeight="1" thickBot="1">
      <c r="A7" s="192" t="s">
        <v>193</v>
      </c>
      <c r="B7" s="193" t="s">
        <v>155</v>
      </c>
      <c r="C7" s="552"/>
      <c r="D7" s="41" t="s">
        <v>194</v>
      </c>
      <c r="E7" s="42" t="s">
        <v>13</v>
      </c>
      <c r="F7" s="399" t="s">
        <v>342</v>
      </c>
      <c r="G7" s="400" t="s">
        <v>343</v>
      </c>
      <c r="H7" s="41" t="s">
        <v>151</v>
      </c>
      <c r="I7" s="230" t="s">
        <v>14</v>
      </c>
      <c r="J7" s="230" t="s">
        <v>15</v>
      </c>
      <c r="K7" s="231" t="s">
        <v>16</v>
      </c>
      <c r="L7" s="43" t="s">
        <v>17</v>
      </c>
      <c r="M7" s="230" t="s">
        <v>14</v>
      </c>
      <c r="N7" s="230" t="s">
        <v>15</v>
      </c>
      <c r="O7" s="234" t="s">
        <v>16</v>
      </c>
      <c r="P7" s="41" t="s">
        <v>195</v>
      </c>
      <c r="Q7" s="230" t="s">
        <v>196</v>
      </c>
      <c r="R7" s="43" t="s">
        <v>195</v>
      </c>
      <c r="S7" s="230" t="s">
        <v>196</v>
      </c>
      <c r="T7" s="43" t="s">
        <v>197</v>
      </c>
      <c r="U7" s="234" t="s">
        <v>18</v>
      </c>
      <c r="V7" s="44" t="s">
        <v>198</v>
      </c>
      <c r="W7" s="45" t="s">
        <v>199</v>
      </c>
      <c r="X7" s="45" t="s">
        <v>200</v>
      </c>
      <c r="Y7" s="46" t="s">
        <v>201</v>
      </c>
      <c r="Z7" s="47" t="s">
        <v>19</v>
      </c>
      <c r="AA7" s="48" t="s">
        <v>20</v>
      </c>
      <c r="AB7" s="48" t="s">
        <v>21</v>
      </c>
      <c r="AC7" s="49" t="s">
        <v>22</v>
      </c>
      <c r="AD7" s="293" t="s">
        <v>286</v>
      </c>
      <c r="AE7" s="294" t="s">
        <v>287</v>
      </c>
    </row>
    <row r="8" spans="1:31" s="6" customFormat="1" ht="15" customHeight="1" thickBot="1">
      <c r="A8" s="50"/>
      <c r="B8" s="51"/>
      <c r="C8" s="52" t="s">
        <v>202</v>
      </c>
      <c r="D8" s="53" t="s">
        <v>202</v>
      </c>
      <c r="E8" s="54" t="s">
        <v>202</v>
      </c>
      <c r="F8" s="53" t="s">
        <v>202</v>
      </c>
      <c r="G8" s="232" t="s">
        <v>202</v>
      </c>
      <c r="H8" s="53" t="s">
        <v>202</v>
      </c>
      <c r="I8" s="232" t="s">
        <v>202</v>
      </c>
      <c r="J8" s="232" t="s">
        <v>202</v>
      </c>
      <c r="K8" s="233" t="s">
        <v>202</v>
      </c>
      <c r="L8" s="55" t="s">
        <v>202</v>
      </c>
      <c r="M8" s="232" t="s">
        <v>202</v>
      </c>
      <c r="N8" s="232" t="s">
        <v>202</v>
      </c>
      <c r="O8" s="235" t="s">
        <v>202</v>
      </c>
      <c r="P8" s="53" t="s">
        <v>202</v>
      </c>
      <c r="Q8" s="232" t="s">
        <v>202</v>
      </c>
      <c r="R8" s="55" t="s">
        <v>202</v>
      </c>
      <c r="S8" s="232" t="s">
        <v>202</v>
      </c>
      <c r="T8" s="55" t="s">
        <v>202</v>
      </c>
      <c r="U8" s="235" t="s">
        <v>202</v>
      </c>
      <c r="V8" s="56"/>
      <c r="W8" s="57"/>
      <c r="X8" s="57"/>
      <c r="Y8" s="58"/>
      <c r="Z8" s="59"/>
      <c r="AA8" s="60"/>
      <c r="AB8" s="60"/>
      <c r="AC8" s="61"/>
      <c r="AD8" s="296"/>
      <c r="AE8" s="297"/>
    </row>
    <row r="9" spans="1:31" ht="12.75">
      <c r="A9" s="184">
        <v>1</v>
      </c>
      <c r="B9" s="185" t="s">
        <v>23</v>
      </c>
      <c r="C9" s="302">
        <f>IF(MIN(D9:U9)=0,"No Criteria",MIN(D9:U9))</f>
        <v>4300</v>
      </c>
      <c r="D9" s="194"/>
      <c r="E9" s="185"/>
      <c r="F9" s="356"/>
      <c r="G9" s="356"/>
      <c r="H9" s="194"/>
      <c r="I9" s="207"/>
      <c r="J9" s="207"/>
      <c r="K9" s="208"/>
      <c r="L9" s="236"/>
      <c r="M9" s="237"/>
      <c r="N9" s="237"/>
      <c r="O9" s="238"/>
      <c r="P9" s="255"/>
      <c r="Q9" s="237"/>
      <c r="R9" s="261"/>
      <c r="S9" s="237"/>
      <c r="T9" s="171"/>
      <c r="U9" s="262">
        <v>4300</v>
      </c>
      <c r="V9" s="64"/>
      <c r="W9" s="65"/>
      <c r="X9" s="65"/>
      <c r="Y9" s="66"/>
      <c r="Z9" s="63"/>
      <c r="AA9" s="67"/>
      <c r="AB9" s="67"/>
      <c r="AC9" s="5"/>
      <c r="AD9" s="194"/>
      <c r="AE9" s="295"/>
    </row>
    <row r="10" spans="1:31" ht="12.75">
      <c r="A10" s="186">
        <v>2</v>
      </c>
      <c r="B10" s="187" t="s">
        <v>156</v>
      </c>
      <c r="C10" s="303">
        <v>36</v>
      </c>
      <c r="D10" s="195"/>
      <c r="E10" s="196"/>
      <c r="F10" s="357"/>
      <c r="G10" s="357"/>
      <c r="H10" s="209"/>
      <c r="I10" s="210"/>
      <c r="J10" s="210"/>
      <c r="K10" s="211"/>
      <c r="L10" s="173"/>
      <c r="M10" s="239"/>
      <c r="N10" s="239"/>
      <c r="O10" s="240"/>
      <c r="P10" s="320">
        <f>340/Z10</f>
        <v>340</v>
      </c>
      <c r="Q10" s="321">
        <f>150/AA10</f>
        <v>150</v>
      </c>
      <c r="R10" s="322">
        <f>69/AB10</f>
        <v>69</v>
      </c>
      <c r="S10" s="321">
        <f>36/AC10</f>
        <v>36</v>
      </c>
      <c r="T10" s="172"/>
      <c r="U10" s="263"/>
      <c r="V10" s="70"/>
      <c r="W10" s="71"/>
      <c r="X10" s="71"/>
      <c r="Y10" s="72"/>
      <c r="Z10" s="80">
        <v>1</v>
      </c>
      <c r="AA10" s="78">
        <v>1</v>
      </c>
      <c r="AB10" s="78">
        <v>1</v>
      </c>
      <c r="AC10" s="79">
        <v>1</v>
      </c>
      <c r="AD10" s="80"/>
      <c r="AE10" s="79"/>
    </row>
    <row r="11" spans="1:31" ht="12.75">
      <c r="A11" s="186">
        <v>3</v>
      </c>
      <c r="B11" s="187" t="s">
        <v>203</v>
      </c>
      <c r="C11" s="304" t="str">
        <f>IF(MIN(D11:U11)=0,"No Criteria",MIN(D11:U11))</f>
        <v>No Criteria</v>
      </c>
      <c r="D11" s="195"/>
      <c r="E11" s="197"/>
      <c r="F11" s="358"/>
      <c r="G11" s="358"/>
      <c r="H11" s="212"/>
      <c r="I11" s="213"/>
      <c r="J11" s="213"/>
      <c r="K11" s="214"/>
      <c r="L11" s="241"/>
      <c r="M11" s="239"/>
      <c r="N11" s="239"/>
      <c r="O11" s="240"/>
      <c r="P11" s="320"/>
      <c r="Q11" s="321"/>
      <c r="R11" s="322"/>
      <c r="S11" s="321"/>
      <c r="T11" s="173"/>
      <c r="U11" s="263"/>
      <c r="V11" s="70"/>
      <c r="W11" s="71"/>
      <c r="X11" s="71"/>
      <c r="Y11" s="72"/>
      <c r="Z11" s="69"/>
      <c r="AA11" s="73"/>
      <c r="AB11" s="73"/>
      <c r="AC11" s="9"/>
      <c r="AD11" s="80"/>
      <c r="AE11" s="79"/>
    </row>
    <row r="12" spans="1:31" ht="12.75">
      <c r="A12" s="188">
        <v>4</v>
      </c>
      <c r="B12" s="189" t="s">
        <v>204</v>
      </c>
      <c r="C12" s="366">
        <f>IF(MIN(D12:U12)=0,"No Criteria",MIN(D12:U12))</f>
        <v>7.311862010973469</v>
      </c>
      <c r="D12" s="80"/>
      <c r="E12" s="198"/>
      <c r="F12" s="272"/>
      <c r="G12" s="272"/>
      <c r="H12" s="424"/>
      <c r="I12" s="424"/>
      <c r="J12" s="215"/>
      <c r="K12" s="216"/>
      <c r="L12" s="242"/>
      <c r="M12" s="243"/>
      <c r="N12" s="243"/>
      <c r="O12" s="244"/>
      <c r="P12" s="316">
        <f>EXP(V12*(LN($C$2))+W12)</f>
        <v>21.577951061338243</v>
      </c>
      <c r="Q12" s="323">
        <f>(EXP(X12*(LN($C$2))+Y12))</f>
        <v>7.311862010973469</v>
      </c>
      <c r="R12" s="323">
        <f>42/AB12</f>
        <v>42.25352112676056</v>
      </c>
      <c r="S12" s="323">
        <f>9.3/AC12</f>
        <v>9.356136820925554</v>
      </c>
      <c r="T12" s="174"/>
      <c r="U12" s="264"/>
      <c r="V12" s="77">
        <v>1.128</v>
      </c>
      <c r="W12" s="75">
        <v>-3.6867</v>
      </c>
      <c r="X12" s="75">
        <v>0.7852</v>
      </c>
      <c r="Y12" s="161">
        <v>-2.715</v>
      </c>
      <c r="Z12" s="77">
        <f>1.136672-((LN($C$2))*0.041838)</f>
        <v>0.8860011062780961</v>
      </c>
      <c r="AA12" s="30">
        <f>1.101672-((LN($C$2))*0.041838)</f>
        <v>0.8510011062780962</v>
      </c>
      <c r="AB12" s="78">
        <v>0.994</v>
      </c>
      <c r="AC12" s="79">
        <v>0.994</v>
      </c>
      <c r="AD12" s="80"/>
      <c r="AE12" s="79"/>
    </row>
    <row r="13" spans="1:31" ht="12.75">
      <c r="A13" s="188" t="s">
        <v>27</v>
      </c>
      <c r="B13" s="189" t="s">
        <v>313</v>
      </c>
      <c r="C13" s="305">
        <f>IF(MIN(D13:U13)=0,"  No Criteria",MIN(D13:U13))</f>
        <v>644.2001463521674</v>
      </c>
      <c r="D13" s="80"/>
      <c r="E13" s="198"/>
      <c r="F13" s="272"/>
      <c r="G13" s="272"/>
      <c r="H13" s="217"/>
      <c r="I13" s="215"/>
      <c r="J13" s="215"/>
      <c r="K13" s="216"/>
      <c r="L13" s="242"/>
      <c r="M13" s="243"/>
      <c r="N13" s="243"/>
      <c r="O13" s="244"/>
      <c r="P13" s="324">
        <f>(EXP(V13*(LN($C$2))+W13))</f>
        <v>5404.620225656703</v>
      </c>
      <c r="Q13" s="323">
        <f>(EXP(X13*(LN($C$2))+Y13))</f>
        <v>644.2001463521674</v>
      </c>
      <c r="R13" s="325"/>
      <c r="S13" s="323"/>
      <c r="T13" s="175"/>
      <c r="U13" s="264"/>
      <c r="V13" s="74">
        <v>0.819</v>
      </c>
      <c r="W13" s="75">
        <v>3.688</v>
      </c>
      <c r="X13" s="75">
        <v>0.819</v>
      </c>
      <c r="Y13" s="76">
        <v>1.561</v>
      </c>
      <c r="Z13" s="80">
        <v>0.316</v>
      </c>
      <c r="AA13" s="78">
        <v>0.86</v>
      </c>
      <c r="AB13" s="78"/>
      <c r="AC13" s="79"/>
      <c r="AD13" s="80"/>
      <c r="AE13" s="79"/>
    </row>
    <row r="14" spans="1:31" ht="12.75">
      <c r="A14" s="188" t="s">
        <v>29</v>
      </c>
      <c r="B14" s="190" t="s">
        <v>297</v>
      </c>
      <c r="C14" s="305">
        <v>11</v>
      </c>
      <c r="D14" s="199"/>
      <c r="E14" s="200"/>
      <c r="F14" s="270"/>
      <c r="G14" s="270"/>
      <c r="H14" s="218"/>
      <c r="I14" s="219"/>
      <c r="J14" s="219"/>
      <c r="K14" s="220"/>
      <c r="L14" s="245"/>
      <c r="M14" s="243"/>
      <c r="N14" s="243"/>
      <c r="O14" s="244"/>
      <c r="P14" s="326">
        <f>16/Z14</f>
        <v>16.293279022403258</v>
      </c>
      <c r="Q14" s="327">
        <v>11</v>
      </c>
      <c r="R14" s="328">
        <f>1100/AB14</f>
        <v>1107.7542799597181</v>
      </c>
      <c r="S14" s="327">
        <f>50/AC14</f>
        <v>50.35246727089628</v>
      </c>
      <c r="T14" s="176"/>
      <c r="U14" s="265"/>
      <c r="V14" s="74"/>
      <c r="W14" s="75"/>
      <c r="X14" s="75"/>
      <c r="Y14" s="76"/>
      <c r="Z14" s="80">
        <v>0.982</v>
      </c>
      <c r="AA14" s="78">
        <v>0.962</v>
      </c>
      <c r="AB14" s="78">
        <v>0.993</v>
      </c>
      <c r="AC14" s="79">
        <v>0.993</v>
      </c>
      <c r="AD14" s="80"/>
      <c r="AE14" s="79"/>
    </row>
    <row r="15" spans="1:31" ht="12.75">
      <c r="A15" s="188">
        <v>6</v>
      </c>
      <c r="B15" s="189" t="s">
        <v>205</v>
      </c>
      <c r="C15" s="305">
        <f>IF(MIN(D15:U15)=0,"  No Criteria",MIN(D15:U15))</f>
        <v>13.018867924528301</v>
      </c>
      <c r="D15" s="201"/>
      <c r="E15" s="202"/>
      <c r="F15" s="272">
        <f>10.8/AD15</f>
        <v>20.37735849056604</v>
      </c>
      <c r="G15" s="272">
        <f>6.9/AE15</f>
        <v>13.018867924528301</v>
      </c>
      <c r="H15" s="318"/>
      <c r="I15" s="319"/>
      <c r="J15" s="215"/>
      <c r="K15" s="216"/>
      <c r="L15" s="242"/>
      <c r="M15" s="246"/>
      <c r="N15" s="247"/>
      <c r="O15" s="248"/>
      <c r="P15" s="324">
        <f>(EXP(V15*(LN($C$2))+W15))</f>
        <v>51.68449825813601</v>
      </c>
      <c r="Q15" s="323">
        <f>(EXP(X15*(LN($C$2))+Y15))</f>
        <v>30.49938304889724</v>
      </c>
      <c r="R15" s="317"/>
      <c r="S15" s="317"/>
      <c r="T15" s="175"/>
      <c r="U15" s="264"/>
      <c r="V15" s="74">
        <v>0.9422</v>
      </c>
      <c r="W15" s="75">
        <v>-1.7</v>
      </c>
      <c r="X15" s="75">
        <v>0.8545</v>
      </c>
      <c r="Y15" s="76">
        <v>-1.702</v>
      </c>
      <c r="Z15" s="80">
        <v>0.96</v>
      </c>
      <c r="AA15" s="78">
        <v>0.96</v>
      </c>
      <c r="AB15" s="78">
        <v>0.83</v>
      </c>
      <c r="AC15" s="79">
        <v>0.83</v>
      </c>
      <c r="AD15" s="80">
        <v>0.53</v>
      </c>
      <c r="AE15" s="79">
        <v>0.53</v>
      </c>
    </row>
    <row r="16" spans="1:31" ht="12.75">
      <c r="A16" s="188">
        <v>7</v>
      </c>
      <c r="B16" s="189" t="s">
        <v>206</v>
      </c>
      <c r="C16" s="303">
        <f>MIN(P16:S16)</f>
        <v>8.517350157728707</v>
      </c>
      <c r="D16" s="80"/>
      <c r="E16" s="200"/>
      <c r="F16" s="270"/>
      <c r="G16" s="270"/>
      <c r="H16" s="316"/>
      <c r="I16" s="317"/>
      <c r="J16" s="215"/>
      <c r="K16" s="216"/>
      <c r="L16" s="242"/>
      <c r="M16" s="249"/>
      <c r="N16" s="249"/>
      <c r="O16" s="250"/>
      <c r="P16" s="324">
        <f>(EXP(V16*(LN($C$2))+W16))</f>
        <v>476.8177624264655</v>
      </c>
      <c r="Q16" s="317">
        <f>(EXP(X16*(LN($C$2))+Y16))</f>
        <v>18.580903661812474</v>
      </c>
      <c r="R16" s="325">
        <f>210/AB16</f>
        <v>220.82018927444796</v>
      </c>
      <c r="S16" s="323">
        <f>8.1/AC16</f>
        <v>8.517350157728707</v>
      </c>
      <c r="T16" s="174"/>
      <c r="U16" s="264"/>
      <c r="V16" s="74">
        <v>1.273</v>
      </c>
      <c r="W16" s="75">
        <v>-1.46</v>
      </c>
      <c r="X16" s="75">
        <v>1.273</v>
      </c>
      <c r="Y16" s="76">
        <v>-4.705</v>
      </c>
      <c r="Z16" s="77">
        <f>1.46203-((LN($C$2))*0.145712)</f>
        <v>0.5890017179118017</v>
      </c>
      <c r="AA16" s="30">
        <f>1.46203-((LN($C$2))*0.145712)</f>
        <v>0.5890017179118017</v>
      </c>
      <c r="AB16" s="78">
        <v>0.951</v>
      </c>
      <c r="AC16" s="79">
        <v>0.951</v>
      </c>
      <c r="AD16" s="80"/>
      <c r="AE16" s="79"/>
    </row>
    <row r="17" spans="1:31" ht="12.75">
      <c r="A17" s="188">
        <v>8</v>
      </c>
      <c r="B17" s="190" t="s">
        <v>207</v>
      </c>
      <c r="C17" s="306">
        <v>0.051</v>
      </c>
      <c r="D17" s="203"/>
      <c r="E17" s="204"/>
      <c r="F17" s="359"/>
      <c r="G17" s="359"/>
      <c r="H17" s="221"/>
      <c r="I17" s="222"/>
      <c r="J17" s="222"/>
      <c r="K17" s="223"/>
      <c r="L17" s="251"/>
      <c r="M17" s="252"/>
      <c r="N17" s="252"/>
      <c r="O17" s="253"/>
      <c r="P17" s="329"/>
      <c r="Q17" s="330"/>
      <c r="R17" s="330"/>
      <c r="S17" s="330"/>
      <c r="T17" s="177"/>
      <c r="U17" s="266">
        <v>0.051</v>
      </c>
      <c r="V17" s="74"/>
      <c r="W17" s="75"/>
      <c r="X17" s="75"/>
      <c r="Y17" s="76"/>
      <c r="Z17" s="80"/>
      <c r="AA17" s="78"/>
      <c r="AB17" s="78"/>
      <c r="AC17" s="79"/>
      <c r="AD17" s="80"/>
      <c r="AE17" s="79"/>
    </row>
    <row r="18" spans="1:31" ht="12.75">
      <c r="A18" s="188">
        <v>9</v>
      </c>
      <c r="B18" s="189" t="s">
        <v>208</v>
      </c>
      <c r="C18" s="303">
        <f>G18</f>
        <v>27.045454545454547</v>
      </c>
      <c r="D18" s="201"/>
      <c r="E18" s="204"/>
      <c r="F18" s="362">
        <f>62.4/AD18</f>
        <v>141.8181818181818</v>
      </c>
      <c r="G18" s="362">
        <f>11.9/AE18</f>
        <v>27.045454545454547</v>
      </c>
      <c r="H18" s="318"/>
      <c r="I18" s="319"/>
      <c r="J18" s="363"/>
      <c r="K18" s="364"/>
      <c r="L18" s="365"/>
      <c r="M18" s="73"/>
      <c r="N18" s="260"/>
      <c r="O18" s="250"/>
      <c r="P18" s="324">
        <f>(EXP(V18*(LN($C$2))+W18))</f>
        <v>1515.9218380419773</v>
      </c>
      <c r="Q18" s="323">
        <f>(EXP(X18*(LN($C$2))+Y18))</f>
        <v>168.5409938005813</v>
      </c>
      <c r="R18" s="325"/>
      <c r="S18" s="323"/>
      <c r="T18" s="175"/>
      <c r="U18" s="267">
        <v>4600</v>
      </c>
      <c r="V18" s="74">
        <v>0.846</v>
      </c>
      <c r="W18" s="75">
        <v>2.255</v>
      </c>
      <c r="X18" s="75">
        <v>0.846</v>
      </c>
      <c r="Y18" s="76">
        <v>0.0584</v>
      </c>
      <c r="Z18" s="80">
        <v>0.998</v>
      </c>
      <c r="AA18" s="78">
        <v>0.997</v>
      </c>
      <c r="AB18" s="78">
        <v>0.99</v>
      </c>
      <c r="AC18" s="79">
        <v>0.99</v>
      </c>
      <c r="AD18" s="80">
        <v>0.44</v>
      </c>
      <c r="AE18" s="79">
        <v>0.44</v>
      </c>
    </row>
    <row r="19" spans="1:31" ht="12.75">
      <c r="A19" s="188">
        <v>10</v>
      </c>
      <c r="B19" s="189" t="s">
        <v>209</v>
      </c>
      <c r="C19" s="305">
        <f>IF(MIN(D19:U19)=0,"  No Criteria",MIN(D19:U19))</f>
        <v>5</v>
      </c>
      <c r="D19" s="201"/>
      <c r="E19" s="204"/>
      <c r="F19" s="359"/>
      <c r="G19" s="359"/>
      <c r="H19" s="199"/>
      <c r="I19" s="224"/>
      <c r="J19" s="224"/>
      <c r="K19" s="225"/>
      <c r="L19" s="180"/>
      <c r="M19" s="247"/>
      <c r="N19" s="247"/>
      <c r="O19" s="248"/>
      <c r="P19" s="257">
        <v>20</v>
      </c>
      <c r="Q19" s="249">
        <v>5</v>
      </c>
      <c r="R19" s="176">
        <v>290</v>
      </c>
      <c r="S19" s="256">
        <v>71</v>
      </c>
      <c r="T19" s="176"/>
      <c r="U19" s="264"/>
      <c r="V19" s="74"/>
      <c r="W19" s="75"/>
      <c r="X19" s="75"/>
      <c r="Y19" s="76"/>
      <c r="Z19" s="80"/>
      <c r="AA19" s="78"/>
      <c r="AB19" s="78">
        <v>0.998</v>
      </c>
      <c r="AC19" s="79">
        <v>0.998</v>
      </c>
      <c r="AD19" s="80"/>
      <c r="AE19" s="79"/>
    </row>
    <row r="20" spans="1:31" ht="12.75">
      <c r="A20" s="188">
        <v>11</v>
      </c>
      <c r="B20" s="189" t="s">
        <v>210</v>
      </c>
      <c r="C20" s="303">
        <v>2.2</v>
      </c>
      <c r="D20" s="80"/>
      <c r="E20" s="200"/>
      <c r="F20" s="270"/>
      <c r="G20" s="270"/>
      <c r="H20" s="80"/>
      <c r="I20" s="215"/>
      <c r="J20" s="215"/>
      <c r="K20" s="332"/>
      <c r="L20" s="180"/>
      <c r="M20" s="252"/>
      <c r="N20" s="252"/>
      <c r="O20" s="253"/>
      <c r="P20" s="324">
        <f>(EXP(V20*(LN($C$2))+W20))</f>
        <v>44.04972110463081</v>
      </c>
      <c r="Q20" s="323"/>
      <c r="R20" s="331">
        <f>1.9/AB20</f>
        <v>2.235294117647059</v>
      </c>
      <c r="S20" s="247"/>
      <c r="T20" s="178"/>
      <c r="U20" s="264"/>
      <c r="V20" s="74">
        <v>1.72</v>
      </c>
      <c r="W20" s="75">
        <v>-6.52</v>
      </c>
      <c r="X20" s="75"/>
      <c r="Y20" s="76"/>
      <c r="Z20" s="80">
        <v>0.85</v>
      </c>
      <c r="AA20" s="78"/>
      <c r="AB20" s="78">
        <v>0.85</v>
      </c>
      <c r="AC20" s="79"/>
      <c r="AD20" s="80"/>
      <c r="AE20" s="79"/>
    </row>
    <row r="21" spans="1:31" ht="12.75">
      <c r="A21" s="188">
        <v>12</v>
      </c>
      <c r="B21" s="189" t="s">
        <v>30</v>
      </c>
      <c r="C21" s="305">
        <f>IF(MIN(D21:U21)=0,"  No Criteria",MIN(D21:U21))</f>
        <v>6.3</v>
      </c>
      <c r="D21" s="80"/>
      <c r="E21" s="200"/>
      <c r="F21" s="270"/>
      <c r="G21" s="270"/>
      <c r="H21" s="80"/>
      <c r="I21" s="78"/>
      <c r="J21" s="78"/>
      <c r="K21" s="226"/>
      <c r="L21" s="180"/>
      <c r="M21" s="247"/>
      <c r="N21" s="247"/>
      <c r="O21" s="248"/>
      <c r="P21" s="257"/>
      <c r="Q21" s="247"/>
      <c r="R21" s="178"/>
      <c r="S21" s="247"/>
      <c r="T21" s="178"/>
      <c r="U21" s="268">
        <v>6.3</v>
      </c>
      <c r="V21" s="74"/>
      <c r="W21" s="75"/>
      <c r="X21" s="75"/>
      <c r="Y21" s="76"/>
      <c r="Z21" s="80"/>
      <c r="AA21" s="78"/>
      <c r="AB21" s="78"/>
      <c r="AC21" s="79"/>
      <c r="AD21" s="80"/>
      <c r="AE21" s="79"/>
    </row>
    <row r="22" spans="1:31" ht="13.5" thickBot="1">
      <c r="A22" s="188">
        <v>13</v>
      </c>
      <c r="B22" s="189" t="s">
        <v>211</v>
      </c>
      <c r="C22" s="305">
        <f>IF(MIN(D22:U22)=0,"  No Criteria",MIN(D22:U22))</f>
        <v>90.90909090909092</v>
      </c>
      <c r="D22" s="80"/>
      <c r="E22" s="200"/>
      <c r="F22" s="270"/>
      <c r="G22" s="270"/>
      <c r="H22" s="318"/>
      <c r="I22" s="319"/>
      <c r="J22" s="219"/>
      <c r="K22" s="220"/>
      <c r="L22" s="245"/>
      <c r="M22" s="249"/>
      <c r="N22" s="219"/>
      <c r="O22" s="220"/>
      <c r="P22" s="324">
        <f>(EXP(V22*(LN($C$2))+W22))</f>
        <v>387.8303147181575</v>
      </c>
      <c r="Q22" s="323">
        <f>(EXP(X22*(LN($C$2))+Y22))</f>
        <v>387.8303147181575</v>
      </c>
      <c r="R22" s="325">
        <f>95/AB22</f>
        <v>100.42283298097252</v>
      </c>
      <c r="S22" s="327">
        <f>86/AC22</f>
        <v>90.90909090909092</v>
      </c>
      <c r="T22" s="176"/>
      <c r="U22" s="264"/>
      <c r="V22" s="74">
        <v>0.8473</v>
      </c>
      <c r="W22" s="75">
        <v>0.884</v>
      </c>
      <c r="X22" s="75">
        <v>0.8473</v>
      </c>
      <c r="Y22" s="76">
        <v>0.884</v>
      </c>
      <c r="Z22" s="80">
        <v>0.978</v>
      </c>
      <c r="AA22" s="78">
        <v>0.986</v>
      </c>
      <c r="AB22" s="78">
        <v>0.946</v>
      </c>
      <c r="AC22" s="79">
        <v>0.946</v>
      </c>
      <c r="AD22" s="206"/>
      <c r="AE22" s="383"/>
    </row>
    <row r="23" spans="1:29" ht="12.75">
      <c r="A23" s="188">
        <v>14</v>
      </c>
      <c r="B23" s="189" t="s">
        <v>212</v>
      </c>
      <c r="C23" s="304">
        <f>IF(MIN(D23:U23)=0,"No Criteria",MIN(D23:U23))</f>
        <v>1</v>
      </c>
      <c r="D23" s="80"/>
      <c r="E23" s="200"/>
      <c r="F23" s="270"/>
      <c r="G23" s="270"/>
      <c r="H23" s="217"/>
      <c r="I23" s="219"/>
      <c r="J23" s="219"/>
      <c r="K23" s="220"/>
      <c r="L23" s="245"/>
      <c r="M23" s="249"/>
      <c r="N23" s="249"/>
      <c r="O23" s="250"/>
      <c r="P23" s="258">
        <v>22</v>
      </c>
      <c r="Q23" s="249">
        <v>5.2</v>
      </c>
      <c r="R23" s="179">
        <v>1</v>
      </c>
      <c r="S23" s="249">
        <v>1</v>
      </c>
      <c r="T23" s="179"/>
      <c r="U23" s="267">
        <v>220000</v>
      </c>
      <c r="V23" s="70"/>
      <c r="W23" s="71"/>
      <c r="X23" s="71"/>
      <c r="Y23" s="72"/>
      <c r="Z23" s="69"/>
      <c r="AA23" s="73"/>
      <c r="AB23" s="73"/>
      <c r="AC23" s="9"/>
    </row>
    <row r="24" spans="1:29" ht="12.75">
      <c r="A24" s="188">
        <v>15</v>
      </c>
      <c r="B24" s="189" t="s">
        <v>31</v>
      </c>
      <c r="C24" s="304" t="str">
        <f>IF(MIN(D24:U24)=0,"No Criteria",MIN(D24:U24))</f>
        <v>No Criteria</v>
      </c>
      <c r="D24" s="80"/>
      <c r="E24" s="189"/>
      <c r="F24" s="274"/>
      <c r="G24" s="274"/>
      <c r="H24" s="80"/>
      <c r="I24" s="78"/>
      <c r="J24" s="78"/>
      <c r="K24" s="226"/>
      <c r="L24" s="180"/>
      <c r="M24" s="247"/>
      <c r="N24" s="247"/>
      <c r="O24" s="248"/>
      <c r="P24" s="257"/>
      <c r="Q24" s="247"/>
      <c r="R24" s="178"/>
      <c r="S24" s="247"/>
      <c r="T24" s="178"/>
      <c r="U24" s="264"/>
      <c r="V24" s="70"/>
      <c r="W24" s="71"/>
      <c r="X24" s="71"/>
      <c r="Y24" s="72"/>
      <c r="Z24" s="69"/>
      <c r="AA24" s="73"/>
      <c r="AB24" s="73"/>
      <c r="AC24" s="9"/>
    </row>
    <row r="25" spans="1:29" ht="12.75">
      <c r="A25" s="186"/>
      <c r="B25" s="189" t="s">
        <v>292</v>
      </c>
      <c r="C25" s="307">
        <f aca="true" t="shared" si="0" ref="C25:C32">IF(MIN(D25:U25)=0,"  No Criteria",MIN(D25:U25))</f>
        <v>1.4E-08</v>
      </c>
      <c r="D25" s="201"/>
      <c r="E25" s="189"/>
      <c r="F25" s="274"/>
      <c r="G25" s="274"/>
      <c r="H25" s="80"/>
      <c r="I25" s="73"/>
      <c r="J25" s="78"/>
      <c r="K25" s="226"/>
      <c r="L25" s="180"/>
      <c r="M25" s="78"/>
      <c r="N25" s="78"/>
      <c r="O25" s="189"/>
      <c r="P25" s="80"/>
      <c r="Q25" s="78"/>
      <c r="R25" s="180"/>
      <c r="S25" s="78"/>
      <c r="T25" s="183"/>
      <c r="U25" s="269">
        <v>1.4E-08</v>
      </c>
      <c r="V25" s="70"/>
      <c r="W25" s="71"/>
      <c r="X25" s="71"/>
      <c r="Y25" s="72"/>
      <c r="Z25" s="69"/>
      <c r="AA25" s="73"/>
      <c r="AB25" s="73"/>
      <c r="AC25" s="9"/>
    </row>
    <row r="26" spans="1:29" ht="12.75">
      <c r="A26" s="186">
        <v>17</v>
      </c>
      <c r="B26" s="189" t="s">
        <v>32</v>
      </c>
      <c r="C26" s="308">
        <f t="shared" si="0"/>
        <v>780</v>
      </c>
      <c r="D26" s="80"/>
      <c r="E26" s="189"/>
      <c r="F26" s="274"/>
      <c r="G26" s="274"/>
      <c r="H26" s="80"/>
      <c r="I26" s="78"/>
      <c r="J26" s="78"/>
      <c r="K26" s="226"/>
      <c r="L26" s="180"/>
      <c r="M26" s="78"/>
      <c r="N26" s="78"/>
      <c r="O26" s="189"/>
      <c r="P26" s="80"/>
      <c r="Q26" s="78"/>
      <c r="R26" s="180"/>
      <c r="S26" s="78"/>
      <c r="T26" s="180"/>
      <c r="U26" s="270">
        <v>780</v>
      </c>
      <c r="V26" s="70"/>
      <c r="W26" s="71"/>
      <c r="X26" s="71"/>
      <c r="Y26" s="72"/>
      <c r="Z26" s="69"/>
      <c r="AA26" s="73"/>
      <c r="AB26" s="73"/>
      <c r="AC26" s="9"/>
    </row>
    <row r="27" spans="1:29" ht="12.75">
      <c r="A27" s="186">
        <v>18</v>
      </c>
      <c r="B27" s="189" t="s">
        <v>33</v>
      </c>
      <c r="C27" s="305">
        <f t="shared" si="0"/>
        <v>0.66</v>
      </c>
      <c r="D27" s="80"/>
      <c r="E27" s="189"/>
      <c r="F27" s="274"/>
      <c r="G27" s="274"/>
      <c r="H27" s="80"/>
      <c r="I27" s="78"/>
      <c r="J27" s="78"/>
      <c r="K27" s="226"/>
      <c r="L27" s="180"/>
      <c r="M27" s="78"/>
      <c r="N27" s="78"/>
      <c r="O27" s="189"/>
      <c r="P27" s="80"/>
      <c r="Q27" s="78"/>
      <c r="R27" s="180"/>
      <c r="S27" s="78"/>
      <c r="T27" s="180"/>
      <c r="U27" s="271">
        <v>0.66</v>
      </c>
      <c r="V27" s="70"/>
      <c r="W27" s="71"/>
      <c r="X27" s="71"/>
      <c r="Y27" s="72"/>
      <c r="Z27" s="69"/>
      <c r="AA27" s="73"/>
      <c r="AB27" s="73"/>
      <c r="AC27" s="9"/>
    </row>
    <row r="28" spans="1:29" ht="12.75">
      <c r="A28" s="186">
        <v>19</v>
      </c>
      <c r="B28" s="189" t="s">
        <v>34</v>
      </c>
      <c r="C28" s="308">
        <f t="shared" si="0"/>
        <v>71</v>
      </c>
      <c r="D28" s="80"/>
      <c r="E28" s="189"/>
      <c r="F28" s="274"/>
      <c r="G28" s="274"/>
      <c r="H28" s="80"/>
      <c r="I28" s="78"/>
      <c r="J28" s="78"/>
      <c r="K28" s="226"/>
      <c r="L28" s="180"/>
      <c r="M28" s="78"/>
      <c r="N28" s="78"/>
      <c r="O28" s="189"/>
      <c r="P28" s="80"/>
      <c r="Q28" s="78"/>
      <c r="R28" s="180"/>
      <c r="S28" s="78"/>
      <c r="T28" s="180"/>
      <c r="U28" s="270">
        <v>71</v>
      </c>
      <c r="V28" s="70"/>
      <c r="W28" s="71"/>
      <c r="X28" s="71"/>
      <c r="Y28" s="72"/>
      <c r="Z28" s="69"/>
      <c r="AA28" s="73"/>
      <c r="AB28" s="73"/>
      <c r="AC28" s="9"/>
    </row>
    <row r="29" spans="1:29" ht="12.75">
      <c r="A29" s="186">
        <v>20</v>
      </c>
      <c r="B29" s="189" t="s">
        <v>35</v>
      </c>
      <c r="C29" s="308">
        <f t="shared" si="0"/>
        <v>360</v>
      </c>
      <c r="D29" s="80"/>
      <c r="E29" s="189"/>
      <c r="F29" s="274"/>
      <c r="G29" s="274"/>
      <c r="H29" s="80"/>
      <c r="I29" s="78"/>
      <c r="J29" s="78"/>
      <c r="K29" s="226"/>
      <c r="L29" s="180"/>
      <c r="M29" s="78"/>
      <c r="N29" s="78"/>
      <c r="O29" s="189"/>
      <c r="P29" s="80"/>
      <c r="Q29" s="78"/>
      <c r="R29" s="180"/>
      <c r="S29" s="78"/>
      <c r="T29" s="180"/>
      <c r="U29" s="270">
        <v>360</v>
      </c>
      <c r="V29" s="70"/>
      <c r="W29" s="71"/>
      <c r="X29" s="71"/>
      <c r="Y29" s="72"/>
      <c r="Z29" s="69"/>
      <c r="AA29" s="73"/>
      <c r="AB29" s="73"/>
      <c r="AC29" s="9"/>
    </row>
    <row r="30" spans="1:29" ht="12.75">
      <c r="A30" s="186">
        <v>21</v>
      </c>
      <c r="B30" s="189" t="s">
        <v>36</v>
      </c>
      <c r="C30" s="309">
        <f t="shared" si="0"/>
        <v>4.4</v>
      </c>
      <c r="D30" s="80"/>
      <c r="E30" s="189"/>
      <c r="F30" s="274"/>
      <c r="G30" s="274"/>
      <c r="H30" s="80"/>
      <c r="I30" s="78"/>
      <c r="J30" s="78"/>
      <c r="K30" s="226"/>
      <c r="L30" s="180"/>
      <c r="M30" s="78"/>
      <c r="N30" s="78"/>
      <c r="O30" s="189"/>
      <c r="P30" s="80"/>
      <c r="Q30" s="78"/>
      <c r="R30" s="180"/>
      <c r="S30" s="78"/>
      <c r="T30" s="180"/>
      <c r="U30" s="272">
        <v>4.4</v>
      </c>
      <c r="V30" s="70"/>
      <c r="W30" s="71"/>
      <c r="X30" s="71"/>
      <c r="Y30" s="72"/>
      <c r="Z30" s="69"/>
      <c r="AA30" s="73"/>
      <c r="AB30" s="73"/>
      <c r="AC30" s="9"/>
    </row>
    <row r="31" spans="1:29" ht="12.75">
      <c r="A31" s="186">
        <v>22</v>
      </c>
      <c r="B31" s="189" t="s">
        <v>37</v>
      </c>
      <c r="C31" s="308">
        <f t="shared" si="0"/>
        <v>21000</v>
      </c>
      <c r="D31" s="80"/>
      <c r="E31" s="189"/>
      <c r="F31" s="274"/>
      <c r="G31" s="274"/>
      <c r="H31" s="80"/>
      <c r="I31" s="78"/>
      <c r="J31" s="78"/>
      <c r="K31" s="226"/>
      <c r="L31" s="180"/>
      <c r="M31" s="78"/>
      <c r="N31" s="78"/>
      <c r="O31" s="189"/>
      <c r="P31" s="80"/>
      <c r="Q31" s="78"/>
      <c r="R31" s="180"/>
      <c r="S31" s="78"/>
      <c r="T31" s="180"/>
      <c r="U31" s="273">
        <v>21000</v>
      </c>
      <c r="V31" s="70"/>
      <c r="W31" s="71"/>
      <c r="X31" s="71"/>
      <c r="Y31" s="72"/>
      <c r="Z31" s="69"/>
      <c r="AA31" s="73"/>
      <c r="AB31" s="73"/>
      <c r="AC31" s="9"/>
    </row>
    <row r="32" spans="1:29" ht="12.75">
      <c r="A32" s="186">
        <v>23</v>
      </c>
      <c r="B32" s="189" t="s">
        <v>213</v>
      </c>
      <c r="C32" s="308">
        <f t="shared" si="0"/>
        <v>34</v>
      </c>
      <c r="D32" s="80"/>
      <c r="E32" s="189"/>
      <c r="F32" s="274"/>
      <c r="G32" s="274"/>
      <c r="H32" s="80"/>
      <c r="I32" s="78"/>
      <c r="J32" s="78"/>
      <c r="K32" s="226"/>
      <c r="L32" s="180"/>
      <c r="M32" s="78"/>
      <c r="N32" s="78"/>
      <c r="O32" s="189"/>
      <c r="P32" s="80"/>
      <c r="Q32" s="78"/>
      <c r="R32" s="180"/>
      <c r="S32" s="78"/>
      <c r="T32" s="180"/>
      <c r="U32" s="270">
        <v>34</v>
      </c>
      <c r="V32" s="70"/>
      <c r="W32" s="71"/>
      <c r="X32" s="71"/>
      <c r="Y32" s="72"/>
      <c r="Z32" s="69"/>
      <c r="AA32" s="73"/>
      <c r="AB32" s="73"/>
      <c r="AC32" s="9"/>
    </row>
    <row r="33" spans="1:29" ht="12.75">
      <c r="A33" s="186">
        <v>24</v>
      </c>
      <c r="B33" s="189" t="s">
        <v>39</v>
      </c>
      <c r="C33" s="310" t="str">
        <f>IF(MIN(D33:U33)=0,"No Criteria",MIN(D33:U33))</f>
        <v>No Criteria</v>
      </c>
      <c r="D33" s="80"/>
      <c r="E33" s="189"/>
      <c r="F33" s="274"/>
      <c r="G33" s="274"/>
      <c r="H33" s="80"/>
      <c r="I33" s="78"/>
      <c r="J33" s="78"/>
      <c r="K33" s="226"/>
      <c r="L33" s="180"/>
      <c r="M33" s="78"/>
      <c r="N33" s="78"/>
      <c r="O33" s="189"/>
      <c r="P33" s="80"/>
      <c r="Q33" s="78"/>
      <c r="R33" s="180"/>
      <c r="S33" s="78"/>
      <c r="T33" s="180"/>
      <c r="U33" s="274"/>
      <c r="V33" s="70"/>
      <c r="W33" s="71"/>
      <c r="X33" s="71"/>
      <c r="Y33" s="72"/>
      <c r="Z33" s="69"/>
      <c r="AA33" s="73"/>
      <c r="AB33" s="73"/>
      <c r="AC33" s="9"/>
    </row>
    <row r="34" spans="1:29" ht="12.75">
      <c r="A34" s="186">
        <v>25</v>
      </c>
      <c r="B34" s="189" t="s">
        <v>214</v>
      </c>
      <c r="C34" s="310" t="str">
        <f>IF(MIN(D34:U34)=0,"No Criteria",MIN(D34:U34))</f>
        <v>No Criteria</v>
      </c>
      <c r="D34" s="80"/>
      <c r="E34" s="189"/>
      <c r="F34" s="274"/>
      <c r="G34" s="274"/>
      <c r="H34" s="80"/>
      <c r="I34" s="78"/>
      <c r="J34" s="78"/>
      <c r="K34" s="226"/>
      <c r="L34" s="180"/>
      <c r="M34" s="78"/>
      <c r="N34" s="78"/>
      <c r="O34" s="189"/>
      <c r="P34" s="80"/>
      <c r="Q34" s="78"/>
      <c r="R34" s="180"/>
      <c r="S34" s="78"/>
      <c r="T34" s="180"/>
      <c r="U34" s="274"/>
      <c r="V34" s="70"/>
      <c r="W34" s="71"/>
      <c r="X34" s="71"/>
      <c r="Y34" s="72"/>
      <c r="Z34" s="69"/>
      <c r="AA34" s="73"/>
      <c r="AB34" s="73"/>
      <c r="AC34" s="9"/>
    </row>
    <row r="35" spans="1:29" ht="12.75">
      <c r="A35" s="186">
        <v>26</v>
      </c>
      <c r="B35" s="189" t="s">
        <v>41</v>
      </c>
      <c r="C35" s="310" t="str">
        <f>IF(MIN(D35:U35)=0,"No Criteria",MIN(D35:U35))</f>
        <v>No Criteria</v>
      </c>
      <c r="D35" s="80"/>
      <c r="E35" s="189"/>
      <c r="F35" s="274"/>
      <c r="G35" s="274"/>
      <c r="H35" s="80"/>
      <c r="I35" s="78"/>
      <c r="J35" s="78"/>
      <c r="K35" s="226"/>
      <c r="L35" s="180"/>
      <c r="M35" s="78"/>
      <c r="N35" s="78"/>
      <c r="O35" s="189"/>
      <c r="P35" s="80"/>
      <c r="Q35" s="78"/>
      <c r="R35" s="180"/>
      <c r="S35" s="78"/>
      <c r="T35" s="180"/>
      <c r="U35" s="274"/>
      <c r="V35" s="70"/>
      <c r="W35" s="71"/>
      <c r="X35" s="71"/>
      <c r="Y35" s="72"/>
      <c r="Z35" s="69"/>
      <c r="AA35" s="73"/>
      <c r="AB35" s="73"/>
      <c r="AC35" s="9"/>
    </row>
    <row r="36" spans="1:29" ht="12.75">
      <c r="A36" s="186">
        <v>27</v>
      </c>
      <c r="B36" s="189" t="s">
        <v>42</v>
      </c>
      <c r="C36" s="308">
        <f>IF(MIN(D36:U36)=0,"  No Criteria",MIN(D36:U36))</f>
        <v>46</v>
      </c>
      <c r="D36" s="80"/>
      <c r="E36" s="189"/>
      <c r="F36" s="274"/>
      <c r="G36" s="274"/>
      <c r="H36" s="80"/>
      <c r="I36" s="78"/>
      <c r="J36" s="78"/>
      <c r="K36" s="226"/>
      <c r="L36" s="180"/>
      <c r="M36" s="78"/>
      <c r="N36" s="78"/>
      <c r="O36" s="189"/>
      <c r="P36" s="80"/>
      <c r="Q36" s="78"/>
      <c r="R36" s="180"/>
      <c r="S36" s="78"/>
      <c r="T36" s="180"/>
      <c r="U36" s="270">
        <v>46</v>
      </c>
      <c r="V36" s="70"/>
      <c r="W36" s="71"/>
      <c r="X36" s="71"/>
      <c r="Y36" s="72"/>
      <c r="Z36" s="69"/>
      <c r="AA36" s="73"/>
      <c r="AB36" s="73"/>
      <c r="AC36" s="9"/>
    </row>
    <row r="37" spans="1:29" ht="12.75">
      <c r="A37" s="186">
        <v>28</v>
      </c>
      <c r="B37" s="189" t="s">
        <v>43</v>
      </c>
      <c r="C37" s="310" t="str">
        <f>IF(MIN(D37:U37)=0,"No Criteria",MIN(D37:U37))</f>
        <v>No Criteria</v>
      </c>
      <c r="D37" s="80"/>
      <c r="E37" s="189"/>
      <c r="F37" s="274"/>
      <c r="G37" s="274"/>
      <c r="H37" s="80"/>
      <c r="I37" s="78"/>
      <c r="J37" s="78"/>
      <c r="K37" s="226"/>
      <c r="L37" s="180"/>
      <c r="M37" s="78"/>
      <c r="N37" s="78"/>
      <c r="O37" s="189"/>
      <c r="P37" s="80"/>
      <c r="Q37" s="78"/>
      <c r="R37" s="180"/>
      <c r="S37" s="78"/>
      <c r="T37" s="180"/>
      <c r="U37" s="274"/>
      <c r="V37" s="70"/>
      <c r="W37" s="71"/>
      <c r="X37" s="71"/>
      <c r="Y37" s="72"/>
      <c r="Z37" s="69"/>
      <c r="AA37" s="73"/>
      <c r="AB37" s="73"/>
      <c r="AC37" s="9"/>
    </row>
    <row r="38" spans="1:29" ht="12.75">
      <c r="A38" s="186">
        <v>29</v>
      </c>
      <c r="B38" s="189" t="s">
        <v>44</v>
      </c>
      <c r="C38" s="308">
        <f aca="true" t="shared" si="1" ref="C38:C43">IF(MIN(D38:U38)=0,"  No Criteria",MIN(D38:U38))</f>
        <v>99</v>
      </c>
      <c r="D38" s="80"/>
      <c r="E38" s="189"/>
      <c r="F38" s="274"/>
      <c r="G38" s="274"/>
      <c r="H38" s="80"/>
      <c r="I38" s="78"/>
      <c r="J38" s="78"/>
      <c r="K38" s="226"/>
      <c r="L38" s="180"/>
      <c r="M38" s="78"/>
      <c r="N38" s="78"/>
      <c r="O38" s="189"/>
      <c r="P38" s="80"/>
      <c r="Q38" s="78"/>
      <c r="R38" s="180"/>
      <c r="S38" s="78"/>
      <c r="T38" s="180"/>
      <c r="U38" s="270">
        <v>99</v>
      </c>
      <c r="V38" s="70"/>
      <c r="W38" s="71"/>
      <c r="X38" s="71"/>
      <c r="Y38" s="72"/>
      <c r="Z38" s="69"/>
      <c r="AA38" s="73"/>
      <c r="AB38" s="73"/>
      <c r="AC38" s="9"/>
    </row>
    <row r="39" spans="1:29" ht="12.75">
      <c r="A39" s="186">
        <v>30</v>
      </c>
      <c r="B39" s="189" t="s">
        <v>45</v>
      </c>
      <c r="C39" s="305">
        <f t="shared" si="1"/>
        <v>3.2</v>
      </c>
      <c r="D39" s="80"/>
      <c r="E39" s="189"/>
      <c r="F39" s="274"/>
      <c r="G39" s="274"/>
      <c r="H39" s="80"/>
      <c r="I39" s="78"/>
      <c r="J39" s="78"/>
      <c r="K39" s="226"/>
      <c r="L39" s="180"/>
      <c r="M39" s="78"/>
      <c r="N39" s="78"/>
      <c r="O39" s="189"/>
      <c r="P39" s="80"/>
      <c r="Q39" s="78"/>
      <c r="R39" s="180"/>
      <c r="S39" s="78"/>
      <c r="T39" s="180"/>
      <c r="U39" s="272">
        <v>3.2</v>
      </c>
      <c r="V39" s="70"/>
      <c r="W39" s="71"/>
      <c r="X39" s="71"/>
      <c r="Y39" s="72"/>
      <c r="Z39" s="69"/>
      <c r="AA39" s="73"/>
      <c r="AB39" s="73"/>
      <c r="AC39" s="9"/>
    </row>
    <row r="40" spans="1:29" ht="12.75">
      <c r="A40" s="186">
        <v>31</v>
      </c>
      <c r="B40" s="189" t="s">
        <v>46</v>
      </c>
      <c r="C40" s="311">
        <f t="shared" si="1"/>
        <v>39</v>
      </c>
      <c r="D40" s="80"/>
      <c r="E40" s="189"/>
      <c r="F40" s="274"/>
      <c r="G40" s="274"/>
      <c r="H40" s="80"/>
      <c r="I40" s="78"/>
      <c r="J40" s="78"/>
      <c r="K40" s="226"/>
      <c r="L40" s="180"/>
      <c r="M40" s="78"/>
      <c r="N40" s="78"/>
      <c r="O40" s="189"/>
      <c r="P40" s="80"/>
      <c r="Q40" s="78"/>
      <c r="R40" s="180"/>
      <c r="S40" s="78"/>
      <c r="T40" s="180"/>
      <c r="U40" s="270">
        <v>39</v>
      </c>
      <c r="V40" s="70"/>
      <c r="W40" s="71"/>
      <c r="X40" s="71"/>
      <c r="Y40" s="72"/>
      <c r="Z40" s="69"/>
      <c r="AA40" s="73"/>
      <c r="AB40" s="73"/>
      <c r="AC40" s="9"/>
    </row>
    <row r="41" spans="1:29" ht="12.75">
      <c r="A41" s="186">
        <v>32</v>
      </c>
      <c r="B41" s="189" t="s">
        <v>47</v>
      </c>
      <c r="C41" s="311">
        <f t="shared" si="1"/>
        <v>1700</v>
      </c>
      <c r="D41" s="80"/>
      <c r="E41" s="189"/>
      <c r="F41" s="274"/>
      <c r="G41" s="274"/>
      <c r="H41" s="80"/>
      <c r="I41" s="78"/>
      <c r="J41" s="78"/>
      <c r="K41" s="226"/>
      <c r="L41" s="180"/>
      <c r="M41" s="78"/>
      <c r="N41" s="78"/>
      <c r="O41" s="189"/>
      <c r="P41" s="80"/>
      <c r="Q41" s="78"/>
      <c r="R41" s="180"/>
      <c r="S41" s="78"/>
      <c r="T41" s="180"/>
      <c r="U41" s="273">
        <v>1700</v>
      </c>
      <c r="V41" s="70"/>
      <c r="W41" s="71"/>
      <c r="X41" s="71"/>
      <c r="Y41" s="72"/>
      <c r="Z41" s="69"/>
      <c r="AA41" s="73"/>
      <c r="AB41" s="73"/>
      <c r="AC41" s="9"/>
    </row>
    <row r="42" spans="1:29" ht="12.75">
      <c r="A42" s="186">
        <v>33</v>
      </c>
      <c r="B42" s="189" t="s">
        <v>48</v>
      </c>
      <c r="C42" s="311">
        <f t="shared" si="1"/>
        <v>29000</v>
      </c>
      <c r="D42" s="80"/>
      <c r="E42" s="189"/>
      <c r="F42" s="274"/>
      <c r="G42" s="274"/>
      <c r="H42" s="80"/>
      <c r="I42" s="78"/>
      <c r="J42" s="78"/>
      <c r="K42" s="226"/>
      <c r="L42" s="180"/>
      <c r="M42" s="78"/>
      <c r="N42" s="78"/>
      <c r="O42" s="189"/>
      <c r="P42" s="80"/>
      <c r="Q42" s="78"/>
      <c r="R42" s="180"/>
      <c r="S42" s="78"/>
      <c r="T42" s="180"/>
      <c r="U42" s="273">
        <v>29000</v>
      </c>
      <c r="V42" s="70"/>
      <c r="W42" s="71"/>
      <c r="X42" s="71"/>
      <c r="Y42" s="72"/>
      <c r="Z42" s="69"/>
      <c r="AA42" s="73"/>
      <c r="AB42" s="73"/>
      <c r="AC42" s="9"/>
    </row>
    <row r="43" spans="1:29" ht="12.75">
      <c r="A43" s="186">
        <v>34</v>
      </c>
      <c r="B43" s="189" t="s">
        <v>49</v>
      </c>
      <c r="C43" s="311">
        <f t="shared" si="1"/>
        <v>4000</v>
      </c>
      <c r="D43" s="80"/>
      <c r="E43" s="189"/>
      <c r="F43" s="274"/>
      <c r="G43" s="274"/>
      <c r="H43" s="80"/>
      <c r="I43" s="78"/>
      <c r="J43" s="78"/>
      <c r="K43" s="226"/>
      <c r="L43" s="180"/>
      <c r="M43" s="78"/>
      <c r="N43" s="78"/>
      <c r="O43" s="189"/>
      <c r="P43" s="80"/>
      <c r="Q43" s="78"/>
      <c r="R43" s="180"/>
      <c r="S43" s="78"/>
      <c r="T43" s="180"/>
      <c r="U43" s="273">
        <v>4000</v>
      </c>
      <c r="V43" s="70"/>
      <c r="W43" s="71"/>
      <c r="X43" s="71"/>
      <c r="Y43" s="72"/>
      <c r="Z43" s="69"/>
      <c r="AA43" s="73"/>
      <c r="AB43" s="73"/>
      <c r="AC43" s="9"/>
    </row>
    <row r="44" spans="1:29" ht="12.75">
      <c r="A44" s="186">
        <v>35</v>
      </c>
      <c r="B44" s="189" t="s">
        <v>50</v>
      </c>
      <c r="C44" s="310" t="str">
        <f>IF(MIN(D44:U44)=0,"No Criteria",MIN(D44:U44))</f>
        <v>No Criteria</v>
      </c>
      <c r="D44" s="80"/>
      <c r="E44" s="189"/>
      <c r="F44" s="274"/>
      <c r="G44" s="274"/>
      <c r="H44" s="80"/>
      <c r="I44" s="78"/>
      <c r="J44" s="78"/>
      <c r="K44" s="226"/>
      <c r="L44" s="180"/>
      <c r="M44" s="78"/>
      <c r="N44" s="78"/>
      <c r="O44" s="189"/>
      <c r="P44" s="80"/>
      <c r="Q44" s="78"/>
      <c r="R44" s="180"/>
      <c r="S44" s="78"/>
      <c r="T44" s="180"/>
      <c r="U44" s="270"/>
      <c r="V44" s="70"/>
      <c r="W44" s="71"/>
      <c r="X44" s="71"/>
      <c r="Y44" s="72"/>
      <c r="Z44" s="69"/>
      <c r="AA44" s="73"/>
      <c r="AB44" s="73"/>
      <c r="AC44" s="9"/>
    </row>
    <row r="45" spans="1:29" ht="12.75">
      <c r="A45" s="186">
        <v>36</v>
      </c>
      <c r="B45" s="189" t="s">
        <v>51</v>
      </c>
      <c r="C45" s="311">
        <f>IF(MIN(D45:U45)=0,"  No Criteria",MIN(D45:U45))</f>
        <v>1600</v>
      </c>
      <c r="D45" s="80"/>
      <c r="E45" s="189"/>
      <c r="F45" s="274"/>
      <c r="G45" s="274"/>
      <c r="H45" s="80"/>
      <c r="I45" s="78"/>
      <c r="J45" s="78"/>
      <c r="K45" s="226"/>
      <c r="L45" s="180"/>
      <c r="M45" s="78"/>
      <c r="N45" s="78"/>
      <c r="O45" s="189"/>
      <c r="P45" s="80"/>
      <c r="Q45" s="78"/>
      <c r="R45" s="180"/>
      <c r="S45" s="78"/>
      <c r="T45" s="180"/>
      <c r="U45" s="273">
        <v>1600</v>
      </c>
      <c r="V45" s="70"/>
      <c r="W45" s="71"/>
      <c r="X45" s="71"/>
      <c r="Y45" s="72"/>
      <c r="Z45" s="69"/>
      <c r="AA45" s="73"/>
      <c r="AB45" s="73"/>
      <c r="AC45" s="9"/>
    </row>
    <row r="46" spans="1:29" ht="12.75">
      <c r="A46" s="186">
        <v>37</v>
      </c>
      <c r="B46" s="189" t="s">
        <v>52</v>
      </c>
      <c r="C46" s="311">
        <f>IF(MIN(D46:U46)=0,"  No Criteria",MIN(D46:U46))</f>
        <v>11</v>
      </c>
      <c r="D46" s="80"/>
      <c r="E46" s="189"/>
      <c r="F46" s="274"/>
      <c r="G46" s="274"/>
      <c r="H46" s="80"/>
      <c r="I46" s="78"/>
      <c r="J46" s="78"/>
      <c r="K46" s="226"/>
      <c r="L46" s="180"/>
      <c r="M46" s="78"/>
      <c r="N46" s="78"/>
      <c r="O46" s="189"/>
      <c r="P46" s="80"/>
      <c r="Q46" s="78"/>
      <c r="R46" s="180"/>
      <c r="S46" s="78"/>
      <c r="T46" s="180"/>
      <c r="U46" s="270">
        <v>11</v>
      </c>
      <c r="V46" s="70"/>
      <c r="W46" s="71"/>
      <c r="X46" s="71"/>
      <c r="Y46" s="72"/>
      <c r="Z46" s="69"/>
      <c r="AA46" s="73"/>
      <c r="AB46" s="73"/>
      <c r="AC46" s="9"/>
    </row>
    <row r="47" spans="1:29" ht="12.75">
      <c r="A47" s="186">
        <v>38</v>
      </c>
      <c r="B47" s="189" t="s">
        <v>53</v>
      </c>
      <c r="C47" s="305">
        <f>IF(MIN(D47:U47)=0,"  No Criteria",MIN(D47:U47))</f>
        <v>8.85</v>
      </c>
      <c r="D47" s="80"/>
      <c r="E47" s="189"/>
      <c r="F47" s="274"/>
      <c r="G47" s="274"/>
      <c r="H47" s="80"/>
      <c r="I47" s="78"/>
      <c r="J47" s="78"/>
      <c r="K47" s="226"/>
      <c r="L47" s="180"/>
      <c r="M47" s="78"/>
      <c r="N47" s="78"/>
      <c r="O47" s="189"/>
      <c r="P47" s="80"/>
      <c r="Q47" s="78"/>
      <c r="R47" s="180"/>
      <c r="S47" s="78"/>
      <c r="T47" s="180"/>
      <c r="U47" s="271">
        <v>8.85</v>
      </c>
      <c r="V47" s="70"/>
      <c r="W47" s="71"/>
      <c r="X47" s="71"/>
      <c r="Y47" s="72"/>
      <c r="Z47" s="69"/>
      <c r="AA47" s="73"/>
      <c r="AB47" s="73"/>
      <c r="AC47" s="9"/>
    </row>
    <row r="48" spans="1:29" ht="12.75">
      <c r="A48" s="186">
        <v>39</v>
      </c>
      <c r="B48" s="189" t="s">
        <v>54</v>
      </c>
      <c r="C48" s="311">
        <f>IF(MIN(D48:U48)=0,"  No Criteria",MIN(D48:U48))</f>
        <v>200000</v>
      </c>
      <c r="D48" s="80"/>
      <c r="E48" s="189"/>
      <c r="F48" s="274"/>
      <c r="G48" s="274"/>
      <c r="H48" s="80"/>
      <c r="I48" s="78"/>
      <c r="J48" s="78"/>
      <c r="K48" s="226"/>
      <c r="L48" s="180"/>
      <c r="M48" s="78"/>
      <c r="N48" s="78"/>
      <c r="O48" s="189"/>
      <c r="P48" s="80"/>
      <c r="Q48" s="78"/>
      <c r="R48" s="180"/>
      <c r="S48" s="78"/>
      <c r="T48" s="180"/>
      <c r="U48" s="273">
        <v>200000</v>
      </c>
      <c r="V48" s="70"/>
      <c r="W48" s="71"/>
      <c r="X48" s="71"/>
      <c r="Y48" s="72"/>
      <c r="Z48" s="69"/>
      <c r="AA48" s="73"/>
      <c r="AB48" s="73"/>
      <c r="AC48" s="9"/>
    </row>
    <row r="49" spans="1:29" ht="12.75">
      <c r="A49" s="186">
        <v>40</v>
      </c>
      <c r="B49" s="189" t="s">
        <v>55</v>
      </c>
      <c r="C49" s="311">
        <f>IF(MIN(D49:U49)=0,"  No Criteria",MIN(D49:U49))</f>
        <v>140000</v>
      </c>
      <c r="D49" s="80"/>
      <c r="E49" s="189"/>
      <c r="F49" s="274"/>
      <c r="G49" s="274"/>
      <c r="H49" s="80"/>
      <c r="I49" s="78"/>
      <c r="J49" s="78"/>
      <c r="K49" s="226"/>
      <c r="L49" s="180"/>
      <c r="M49" s="78"/>
      <c r="N49" s="78"/>
      <c r="O49" s="189"/>
      <c r="P49" s="80"/>
      <c r="Q49" s="78"/>
      <c r="R49" s="180"/>
      <c r="S49" s="78"/>
      <c r="T49" s="180"/>
      <c r="U49" s="273">
        <v>140000</v>
      </c>
      <c r="V49" s="70"/>
      <c r="W49" s="71"/>
      <c r="X49" s="71"/>
      <c r="Y49" s="72"/>
      <c r="Z49" s="69"/>
      <c r="AA49" s="73"/>
      <c r="AB49" s="73"/>
      <c r="AC49" s="9"/>
    </row>
    <row r="50" spans="1:29" ht="12.75">
      <c r="A50" s="186">
        <v>41</v>
      </c>
      <c r="B50" s="189" t="s">
        <v>56</v>
      </c>
      <c r="C50" s="310" t="str">
        <f>IF(MIN(D50:U50)=0,"No Criteria",MIN(D50:U50))</f>
        <v>No Criteria</v>
      </c>
      <c r="D50" s="80"/>
      <c r="E50" s="189"/>
      <c r="F50" s="274"/>
      <c r="G50" s="274"/>
      <c r="H50" s="80"/>
      <c r="I50" s="78"/>
      <c r="J50" s="78"/>
      <c r="K50" s="226"/>
      <c r="L50" s="180"/>
      <c r="M50" s="78"/>
      <c r="N50" s="78"/>
      <c r="O50" s="189"/>
      <c r="P50" s="80"/>
      <c r="Q50" s="78"/>
      <c r="R50" s="180"/>
      <c r="S50" s="78"/>
      <c r="T50" s="180"/>
      <c r="U50" s="270"/>
      <c r="V50" s="70"/>
      <c r="W50" s="71"/>
      <c r="X50" s="71"/>
      <c r="Y50" s="72"/>
      <c r="Z50" s="69"/>
      <c r="AA50" s="73"/>
      <c r="AB50" s="73"/>
      <c r="AC50" s="9"/>
    </row>
    <row r="51" spans="1:29" ht="12.75">
      <c r="A51" s="186">
        <v>42</v>
      </c>
      <c r="B51" s="189" t="s">
        <v>57</v>
      </c>
      <c r="C51" s="311">
        <f aca="true" t="shared" si="2" ref="C51:C58">IF(MIN(D51:U51)=0,"  No Criteria",MIN(D51:U51))</f>
        <v>42</v>
      </c>
      <c r="D51" s="80"/>
      <c r="E51" s="189"/>
      <c r="F51" s="274"/>
      <c r="G51" s="274"/>
      <c r="H51" s="80"/>
      <c r="I51" s="78"/>
      <c r="J51" s="78"/>
      <c r="K51" s="226"/>
      <c r="L51" s="180"/>
      <c r="M51" s="78"/>
      <c r="N51" s="78"/>
      <c r="O51" s="189"/>
      <c r="P51" s="80"/>
      <c r="Q51" s="78"/>
      <c r="R51" s="180"/>
      <c r="S51" s="78"/>
      <c r="T51" s="180"/>
      <c r="U51" s="270">
        <v>42</v>
      </c>
      <c r="V51" s="70"/>
      <c r="W51" s="71"/>
      <c r="X51" s="71"/>
      <c r="Y51" s="72"/>
      <c r="Z51" s="69"/>
      <c r="AA51" s="73"/>
      <c r="AB51" s="73"/>
      <c r="AC51" s="9"/>
    </row>
    <row r="52" spans="1:29" ht="12.75">
      <c r="A52" s="186">
        <v>43</v>
      </c>
      <c r="B52" s="189" t="s">
        <v>58</v>
      </c>
      <c r="C52" s="311">
        <f t="shared" si="2"/>
        <v>81</v>
      </c>
      <c r="D52" s="80"/>
      <c r="E52" s="189"/>
      <c r="F52" s="274"/>
      <c r="G52" s="274"/>
      <c r="H52" s="80"/>
      <c r="I52" s="78"/>
      <c r="J52" s="78"/>
      <c r="K52" s="226"/>
      <c r="L52" s="180"/>
      <c r="M52" s="78"/>
      <c r="N52" s="78"/>
      <c r="O52" s="189"/>
      <c r="P52" s="80"/>
      <c r="Q52" s="78"/>
      <c r="R52" s="180"/>
      <c r="S52" s="78"/>
      <c r="T52" s="180"/>
      <c r="U52" s="270">
        <v>81</v>
      </c>
      <c r="V52" s="70"/>
      <c r="W52" s="71"/>
      <c r="X52" s="71"/>
      <c r="Y52" s="72"/>
      <c r="Z52" s="69"/>
      <c r="AA52" s="73"/>
      <c r="AB52" s="73"/>
      <c r="AC52" s="9"/>
    </row>
    <row r="53" spans="1:29" ht="12.75">
      <c r="A53" s="186">
        <v>44</v>
      </c>
      <c r="B53" s="189" t="s">
        <v>59</v>
      </c>
      <c r="C53" s="311">
        <f t="shared" si="2"/>
        <v>525</v>
      </c>
      <c r="D53" s="80"/>
      <c r="E53" s="189"/>
      <c r="F53" s="274"/>
      <c r="G53" s="274"/>
      <c r="H53" s="80"/>
      <c r="I53" s="78"/>
      <c r="J53" s="78"/>
      <c r="K53" s="226"/>
      <c r="L53" s="180"/>
      <c r="M53" s="78"/>
      <c r="N53" s="78"/>
      <c r="O53" s="189"/>
      <c r="P53" s="80"/>
      <c r="Q53" s="78"/>
      <c r="R53" s="180"/>
      <c r="S53" s="78"/>
      <c r="T53" s="180"/>
      <c r="U53" s="270">
        <v>525</v>
      </c>
      <c r="V53" s="70"/>
      <c r="W53" s="71"/>
      <c r="X53" s="71"/>
      <c r="Y53" s="72"/>
      <c r="Z53" s="69"/>
      <c r="AA53" s="73"/>
      <c r="AB53" s="73"/>
      <c r="AC53" s="9"/>
    </row>
    <row r="54" spans="1:29" ht="12.75">
      <c r="A54" s="186">
        <v>45</v>
      </c>
      <c r="B54" s="189" t="s">
        <v>215</v>
      </c>
      <c r="C54" s="311">
        <f t="shared" si="2"/>
        <v>400</v>
      </c>
      <c r="D54" s="80"/>
      <c r="E54" s="189"/>
      <c r="F54" s="274"/>
      <c r="G54" s="274"/>
      <c r="H54" s="80"/>
      <c r="I54" s="78"/>
      <c r="J54" s="78"/>
      <c r="K54" s="226"/>
      <c r="L54" s="180"/>
      <c r="M54" s="78"/>
      <c r="N54" s="78"/>
      <c r="O54" s="189"/>
      <c r="P54" s="80"/>
      <c r="Q54" s="78"/>
      <c r="R54" s="180"/>
      <c r="S54" s="78"/>
      <c r="T54" s="180"/>
      <c r="U54" s="270">
        <v>400</v>
      </c>
      <c r="V54" s="70"/>
      <c r="W54" s="71"/>
      <c r="X54" s="71"/>
      <c r="Y54" s="72"/>
      <c r="Z54" s="69"/>
      <c r="AA54" s="73"/>
      <c r="AB54" s="73"/>
      <c r="AC54" s="9"/>
    </row>
    <row r="55" spans="1:29" ht="12.75">
      <c r="A55" s="186">
        <v>46</v>
      </c>
      <c r="B55" s="189" t="s">
        <v>61</v>
      </c>
      <c r="C55" s="311">
        <f t="shared" si="2"/>
        <v>790</v>
      </c>
      <c r="D55" s="80"/>
      <c r="E55" s="189"/>
      <c r="F55" s="274"/>
      <c r="G55" s="274"/>
      <c r="H55" s="80"/>
      <c r="I55" s="78"/>
      <c r="J55" s="78"/>
      <c r="K55" s="226"/>
      <c r="L55" s="180"/>
      <c r="M55" s="78"/>
      <c r="N55" s="78"/>
      <c r="O55" s="189"/>
      <c r="P55" s="80"/>
      <c r="Q55" s="78"/>
      <c r="R55" s="180"/>
      <c r="S55" s="78"/>
      <c r="T55" s="180"/>
      <c r="U55" s="270">
        <v>790</v>
      </c>
      <c r="V55" s="70"/>
      <c r="W55" s="71"/>
      <c r="X55" s="71"/>
      <c r="Y55" s="72"/>
      <c r="Z55" s="69"/>
      <c r="AA55" s="73"/>
      <c r="AB55" s="73"/>
      <c r="AC55" s="9"/>
    </row>
    <row r="56" spans="1:29" ht="12.75">
      <c r="A56" s="186">
        <v>47</v>
      </c>
      <c r="B56" s="189" t="s">
        <v>62</v>
      </c>
      <c r="C56" s="311">
        <f t="shared" si="2"/>
        <v>2300</v>
      </c>
      <c r="D56" s="80"/>
      <c r="E56" s="189"/>
      <c r="F56" s="274"/>
      <c r="G56" s="274"/>
      <c r="H56" s="80"/>
      <c r="I56" s="78"/>
      <c r="J56" s="78"/>
      <c r="K56" s="226"/>
      <c r="L56" s="180"/>
      <c r="M56" s="78"/>
      <c r="N56" s="78"/>
      <c r="O56" s="189"/>
      <c r="P56" s="80"/>
      <c r="Q56" s="78"/>
      <c r="R56" s="180"/>
      <c r="S56" s="78"/>
      <c r="T56" s="180"/>
      <c r="U56" s="273">
        <v>2300</v>
      </c>
      <c r="V56" s="70"/>
      <c r="W56" s="71"/>
      <c r="X56" s="71"/>
      <c r="Y56" s="72"/>
      <c r="Z56" s="69"/>
      <c r="AA56" s="73"/>
      <c r="AB56" s="73"/>
      <c r="AC56" s="9"/>
    </row>
    <row r="57" spans="1:29" ht="12.75">
      <c r="A57" s="186">
        <v>48</v>
      </c>
      <c r="B57" s="189" t="s">
        <v>216</v>
      </c>
      <c r="C57" s="311">
        <f t="shared" si="2"/>
        <v>765</v>
      </c>
      <c r="D57" s="80"/>
      <c r="E57" s="189"/>
      <c r="F57" s="274"/>
      <c r="G57" s="274"/>
      <c r="H57" s="80"/>
      <c r="I57" s="78"/>
      <c r="J57" s="78"/>
      <c r="K57" s="226"/>
      <c r="L57" s="180"/>
      <c r="M57" s="78"/>
      <c r="N57" s="78"/>
      <c r="O57" s="189"/>
      <c r="P57" s="80"/>
      <c r="Q57" s="78"/>
      <c r="R57" s="180"/>
      <c r="S57" s="78"/>
      <c r="T57" s="180"/>
      <c r="U57" s="270">
        <v>765</v>
      </c>
      <c r="V57" s="70"/>
      <c r="W57" s="71"/>
      <c r="X57" s="71"/>
      <c r="Y57" s="72"/>
      <c r="Z57" s="69"/>
      <c r="AA57" s="73"/>
      <c r="AB57" s="73"/>
      <c r="AC57" s="9"/>
    </row>
    <row r="58" spans="1:29" ht="12.75">
      <c r="A58" s="186">
        <v>49</v>
      </c>
      <c r="B58" s="189" t="s">
        <v>64</v>
      </c>
      <c r="C58" s="311">
        <f t="shared" si="2"/>
        <v>14000</v>
      </c>
      <c r="D58" s="80"/>
      <c r="E58" s="189"/>
      <c r="F58" s="274"/>
      <c r="G58" s="274"/>
      <c r="H58" s="80"/>
      <c r="I58" s="78"/>
      <c r="J58" s="78"/>
      <c r="K58" s="226"/>
      <c r="L58" s="180"/>
      <c r="M58" s="78"/>
      <c r="N58" s="78"/>
      <c r="O58" s="189"/>
      <c r="P58" s="80"/>
      <c r="Q58" s="78"/>
      <c r="R58" s="180"/>
      <c r="S58" s="78"/>
      <c r="T58" s="180"/>
      <c r="U58" s="273">
        <v>14000</v>
      </c>
      <c r="V58" s="70"/>
      <c r="W58" s="71"/>
      <c r="X58" s="71"/>
      <c r="Y58" s="72"/>
      <c r="Z58" s="69"/>
      <c r="AA58" s="73"/>
      <c r="AB58" s="73"/>
      <c r="AC58" s="9"/>
    </row>
    <row r="59" spans="1:29" ht="12.75">
      <c r="A59" s="186">
        <v>50</v>
      </c>
      <c r="B59" s="189" t="s">
        <v>65</v>
      </c>
      <c r="C59" s="310" t="str">
        <f>IF(MIN(D59:U59)=0,"No Criteria",MIN(D59:U59))</f>
        <v>No Criteria</v>
      </c>
      <c r="D59" s="80"/>
      <c r="E59" s="189"/>
      <c r="F59" s="274"/>
      <c r="G59" s="274"/>
      <c r="H59" s="80"/>
      <c r="I59" s="78"/>
      <c r="J59" s="78"/>
      <c r="K59" s="226"/>
      <c r="L59" s="180"/>
      <c r="M59" s="78"/>
      <c r="N59" s="78"/>
      <c r="O59" s="189"/>
      <c r="P59" s="80"/>
      <c r="Q59" s="78"/>
      <c r="R59" s="180"/>
      <c r="S59" s="78"/>
      <c r="T59" s="180"/>
      <c r="U59" s="270"/>
      <c r="V59" s="70"/>
      <c r="W59" s="71"/>
      <c r="X59" s="71"/>
      <c r="Y59" s="72"/>
      <c r="Z59" s="69"/>
      <c r="AA59" s="73"/>
      <c r="AB59" s="73"/>
      <c r="AC59" s="9"/>
    </row>
    <row r="60" spans="1:29" ht="12.75">
      <c r="A60" s="186">
        <v>51</v>
      </c>
      <c r="B60" s="189" t="s">
        <v>66</v>
      </c>
      <c r="C60" s="310" t="str">
        <f>IF(MIN(D60:U60)=0,"No Criteria",MIN(D60:U60))</f>
        <v>No Criteria</v>
      </c>
      <c r="D60" s="80"/>
      <c r="E60" s="189"/>
      <c r="F60" s="274"/>
      <c r="G60" s="274"/>
      <c r="H60" s="80"/>
      <c r="I60" s="78"/>
      <c r="J60" s="78"/>
      <c r="K60" s="226"/>
      <c r="L60" s="180"/>
      <c r="M60" s="78"/>
      <c r="N60" s="78"/>
      <c r="O60" s="189"/>
      <c r="P60" s="80"/>
      <c r="Q60" s="78"/>
      <c r="R60" s="180"/>
      <c r="S60" s="78"/>
      <c r="T60" s="180"/>
      <c r="U60" s="270"/>
      <c r="V60" s="70"/>
      <c r="W60" s="71"/>
      <c r="X60" s="71"/>
      <c r="Y60" s="72"/>
      <c r="Z60" s="69"/>
      <c r="AA60" s="73"/>
      <c r="AB60" s="73"/>
      <c r="AC60" s="9"/>
    </row>
    <row r="61" spans="1:29" ht="12.75">
      <c r="A61" s="186">
        <v>52</v>
      </c>
      <c r="B61" s="189" t="s">
        <v>217</v>
      </c>
      <c r="C61" s="310" t="str">
        <f>IF(MIN(D61:U61)=0,"No Criteria",MIN(D61:U61))</f>
        <v>No Criteria</v>
      </c>
      <c r="D61" s="80"/>
      <c r="E61" s="189"/>
      <c r="F61" s="274"/>
      <c r="G61" s="274"/>
      <c r="H61" s="80"/>
      <c r="I61" s="78"/>
      <c r="J61" s="78"/>
      <c r="K61" s="226"/>
      <c r="L61" s="180"/>
      <c r="M61" s="78"/>
      <c r="N61" s="78"/>
      <c r="O61" s="189"/>
      <c r="P61" s="80"/>
      <c r="Q61" s="78"/>
      <c r="R61" s="180"/>
      <c r="S61" s="78"/>
      <c r="T61" s="180"/>
      <c r="U61" s="270"/>
      <c r="V61" s="70"/>
      <c r="W61" s="71"/>
      <c r="X61" s="71"/>
      <c r="Y61" s="72"/>
      <c r="Z61" s="69"/>
      <c r="AA61" s="73"/>
      <c r="AB61" s="73"/>
      <c r="AC61" s="9"/>
    </row>
    <row r="62" spans="1:29" ht="12.75">
      <c r="A62" s="186">
        <v>53</v>
      </c>
      <c r="B62" s="189" t="s">
        <v>68</v>
      </c>
      <c r="C62" s="305">
        <f>IF(MIN(D62:U62)=0,"  No Criteria",MIN(D62:U62))</f>
        <v>7.9</v>
      </c>
      <c r="D62" s="80"/>
      <c r="E62" s="189"/>
      <c r="F62" s="274"/>
      <c r="G62" s="274"/>
      <c r="H62" s="80"/>
      <c r="I62" s="78"/>
      <c r="J62" s="78"/>
      <c r="K62" s="226"/>
      <c r="L62" s="180"/>
      <c r="M62" s="78"/>
      <c r="N62" s="78"/>
      <c r="O62" s="189"/>
      <c r="P62" s="333">
        <f>EXP(1.005*($C$3)-4.869)</f>
        <v>32.21718481192695</v>
      </c>
      <c r="Q62" s="334">
        <f>EXP(1.005*($C$3)-5.134)</f>
        <v>24.71721587918211</v>
      </c>
      <c r="R62" s="245">
        <v>13</v>
      </c>
      <c r="S62" s="215">
        <v>7.9</v>
      </c>
      <c r="T62" s="181"/>
      <c r="U62" s="272">
        <v>8.2</v>
      </c>
      <c r="V62" s="70"/>
      <c r="W62" s="71"/>
      <c r="X62" s="71"/>
      <c r="Y62" s="72"/>
      <c r="Z62" s="69"/>
      <c r="AA62" s="73"/>
      <c r="AB62" s="73"/>
      <c r="AC62" s="9"/>
    </row>
    <row r="63" spans="1:29" ht="12.75">
      <c r="A63" s="186">
        <v>54</v>
      </c>
      <c r="B63" s="189" t="s">
        <v>69</v>
      </c>
      <c r="C63" s="308">
        <f>IF(MIN(D63:U63)=0,"  No Criteria",MIN(D63:U63))</f>
        <v>4600000</v>
      </c>
      <c r="D63" s="80"/>
      <c r="E63" s="204"/>
      <c r="F63" s="359"/>
      <c r="G63" s="359"/>
      <c r="H63" s="80"/>
      <c r="I63" s="78"/>
      <c r="J63" s="78"/>
      <c r="K63" s="226"/>
      <c r="L63" s="180"/>
      <c r="M63" s="78"/>
      <c r="N63" s="78"/>
      <c r="O63" s="189"/>
      <c r="P63" s="80"/>
      <c r="Q63" s="78"/>
      <c r="R63" s="180"/>
      <c r="S63" s="78"/>
      <c r="T63" s="180"/>
      <c r="U63" s="273">
        <v>4600000</v>
      </c>
      <c r="V63" s="70"/>
      <c r="W63" s="71"/>
      <c r="X63" s="71"/>
      <c r="Y63" s="72"/>
      <c r="Z63" s="69"/>
      <c r="AA63" s="73"/>
      <c r="AB63" s="73"/>
      <c r="AC63" s="9"/>
    </row>
    <row r="64" spans="1:29" ht="12.75">
      <c r="A64" s="186">
        <v>55</v>
      </c>
      <c r="B64" s="189" t="s">
        <v>70</v>
      </c>
      <c r="C64" s="305">
        <f>IF(MIN(D64:U64)=0,"  No Criteria",MIN(D64:U64))</f>
        <v>6.5</v>
      </c>
      <c r="D64" s="80"/>
      <c r="E64" s="189"/>
      <c r="F64" s="274"/>
      <c r="G64" s="274"/>
      <c r="H64" s="80"/>
      <c r="I64" s="78"/>
      <c r="J64" s="78"/>
      <c r="K64" s="226"/>
      <c r="L64" s="180"/>
      <c r="M64" s="78"/>
      <c r="N64" s="78"/>
      <c r="O64" s="189"/>
      <c r="P64" s="80"/>
      <c r="Q64" s="78"/>
      <c r="R64" s="180"/>
      <c r="S64" s="78"/>
      <c r="T64" s="180"/>
      <c r="U64" s="272">
        <v>6.5</v>
      </c>
      <c r="V64" s="70"/>
      <c r="W64" s="71"/>
      <c r="X64" s="71"/>
      <c r="Y64" s="72"/>
      <c r="Z64" s="69"/>
      <c r="AA64" s="73"/>
      <c r="AB64" s="73"/>
      <c r="AC64" s="9"/>
    </row>
    <row r="65" spans="1:29" ht="12.75">
      <c r="A65" s="186">
        <v>56</v>
      </c>
      <c r="B65" s="189" t="s">
        <v>71</v>
      </c>
      <c r="C65" s="311">
        <f>IF(MIN(D65:U65)=0,"  No Criteria",MIN(D65:U65))</f>
        <v>2700</v>
      </c>
      <c r="D65" s="80"/>
      <c r="E65" s="189"/>
      <c r="F65" s="274"/>
      <c r="G65" s="274"/>
      <c r="H65" s="80"/>
      <c r="I65" s="78"/>
      <c r="J65" s="78"/>
      <c r="K65" s="226"/>
      <c r="L65" s="180"/>
      <c r="M65" s="78"/>
      <c r="N65" s="78"/>
      <c r="O65" s="189"/>
      <c r="P65" s="80"/>
      <c r="Q65" s="78"/>
      <c r="R65" s="180"/>
      <c r="S65" s="78"/>
      <c r="T65" s="180"/>
      <c r="U65" s="273">
        <v>2700</v>
      </c>
      <c r="V65" s="70"/>
      <c r="W65" s="71"/>
      <c r="X65" s="71"/>
      <c r="Y65" s="72"/>
      <c r="Z65" s="69"/>
      <c r="AA65" s="73"/>
      <c r="AB65" s="73"/>
      <c r="AC65" s="9"/>
    </row>
    <row r="66" spans="1:29" ht="12.75">
      <c r="A66" s="186">
        <v>57</v>
      </c>
      <c r="B66" s="189" t="s">
        <v>218</v>
      </c>
      <c r="C66" s="310" t="str">
        <f>IF(MIN(D66:U66)=0,"No Criteria",MIN(D66:U66))</f>
        <v>No Criteria</v>
      </c>
      <c r="D66" s="80"/>
      <c r="E66" s="189"/>
      <c r="F66" s="274"/>
      <c r="G66" s="274"/>
      <c r="H66" s="80"/>
      <c r="I66" s="78"/>
      <c r="J66" s="78"/>
      <c r="K66" s="226"/>
      <c r="L66" s="180"/>
      <c r="M66" s="78"/>
      <c r="N66" s="78"/>
      <c r="O66" s="189"/>
      <c r="P66" s="80"/>
      <c r="Q66" s="78"/>
      <c r="R66" s="180"/>
      <c r="S66" s="78"/>
      <c r="T66" s="180"/>
      <c r="U66" s="270"/>
      <c r="V66" s="70"/>
      <c r="W66" s="71"/>
      <c r="X66" s="71"/>
      <c r="Y66" s="72"/>
      <c r="Z66" s="69"/>
      <c r="AA66" s="73"/>
      <c r="AB66" s="73"/>
      <c r="AC66" s="9"/>
    </row>
    <row r="67" spans="1:29" ht="12.75">
      <c r="A67" s="186">
        <v>58</v>
      </c>
      <c r="B67" s="189" t="s">
        <v>73</v>
      </c>
      <c r="C67" s="311">
        <f>IF(MIN(D67:U67)=0,"  No Criteria",MIN(D67:U67))</f>
        <v>110000</v>
      </c>
      <c r="D67" s="80"/>
      <c r="E67" s="189"/>
      <c r="F67" s="274"/>
      <c r="G67" s="274"/>
      <c r="H67" s="80"/>
      <c r="I67" s="78"/>
      <c r="J67" s="78"/>
      <c r="K67" s="226"/>
      <c r="L67" s="180"/>
      <c r="M67" s="78"/>
      <c r="N67" s="78"/>
      <c r="O67" s="189"/>
      <c r="P67" s="80"/>
      <c r="Q67" s="78"/>
      <c r="R67" s="180"/>
      <c r="S67" s="78"/>
      <c r="T67" s="180"/>
      <c r="U67" s="273">
        <v>110000</v>
      </c>
      <c r="V67" s="70"/>
      <c r="W67" s="71"/>
      <c r="X67" s="71"/>
      <c r="Y67" s="72"/>
      <c r="Z67" s="69"/>
      <c r="AA67" s="73"/>
      <c r="AB67" s="73"/>
      <c r="AC67" s="9"/>
    </row>
    <row r="68" spans="1:29" ht="12.75">
      <c r="A68" s="186">
        <v>59</v>
      </c>
      <c r="B68" s="189" t="s">
        <v>74</v>
      </c>
      <c r="C68" s="312">
        <f>IF(MIN(D68:U68)=0,"  No Criteria",MIN(D68:U68))</f>
        <v>0.00054</v>
      </c>
      <c r="D68" s="80"/>
      <c r="E68" s="189"/>
      <c r="F68" s="274"/>
      <c r="G68" s="274"/>
      <c r="H68" s="80"/>
      <c r="I68" s="78"/>
      <c r="J68" s="78"/>
      <c r="K68" s="226"/>
      <c r="L68" s="180"/>
      <c r="M68" s="78"/>
      <c r="N68" s="78"/>
      <c r="O68" s="189"/>
      <c r="P68" s="80"/>
      <c r="Q68" s="78"/>
      <c r="R68" s="180"/>
      <c r="S68" s="78"/>
      <c r="T68" s="180"/>
      <c r="U68" s="275">
        <v>0.00054</v>
      </c>
      <c r="V68" s="70"/>
      <c r="W68" s="71"/>
      <c r="X68" s="71"/>
      <c r="Y68" s="72"/>
      <c r="Z68" s="69"/>
      <c r="AA68" s="73"/>
      <c r="AB68" s="73"/>
      <c r="AC68" s="9"/>
    </row>
    <row r="69" spans="1:29" s="12" customFormat="1" ht="12.75">
      <c r="A69" s="186">
        <v>60</v>
      </c>
      <c r="B69" s="189" t="s">
        <v>75</v>
      </c>
      <c r="C69" s="313">
        <f>IF(MIN(D69:U69)=0,"  No Criteria",MIN(D69:U69))</f>
        <v>0.049</v>
      </c>
      <c r="D69" s="80"/>
      <c r="E69" s="205"/>
      <c r="F69" s="360"/>
      <c r="G69" s="360"/>
      <c r="H69" s="227"/>
      <c r="I69" s="228"/>
      <c r="J69" s="228"/>
      <c r="K69" s="229"/>
      <c r="L69" s="254"/>
      <c r="M69" s="228"/>
      <c r="N69" s="228"/>
      <c r="O69" s="205"/>
      <c r="P69" s="227"/>
      <c r="Q69" s="228"/>
      <c r="R69" s="254"/>
      <c r="S69" s="228"/>
      <c r="T69" s="180"/>
      <c r="U69" s="276">
        <v>0.049</v>
      </c>
      <c r="V69" s="84"/>
      <c r="W69" s="85"/>
      <c r="X69" s="85"/>
      <c r="Y69" s="86"/>
      <c r="Z69" s="83"/>
      <c r="AA69" s="15"/>
      <c r="AB69" s="15"/>
      <c r="AC69" s="16"/>
    </row>
    <row r="70" spans="1:29" s="12" customFormat="1" ht="12.75">
      <c r="A70" s="186">
        <v>61</v>
      </c>
      <c r="B70" s="189" t="s">
        <v>76</v>
      </c>
      <c r="C70" s="313">
        <f>IF(MIN(D70:U70)=0,"  No Criteria",MIN(D70:U70))</f>
        <v>0.049</v>
      </c>
      <c r="D70" s="80"/>
      <c r="E70" s="205"/>
      <c r="F70" s="360"/>
      <c r="G70" s="360"/>
      <c r="H70" s="227"/>
      <c r="I70" s="228"/>
      <c r="J70" s="228"/>
      <c r="K70" s="229"/>
      <c r="L70" s="254"/>
      <c r="M70" s="228"/>
      <c r="N70" s="228"/>
      <c r="O70" s="205"/>
      <c r="P70" s="227"/>
      <c r="Q70" s="228"/>
      <c r="R70" s="254"/>
      <c r="S70" s="228"/>
      <c r="T70" s="180"/>
      <c r="U70" s="276">
        <v>0.049</v>
      </c>
      <c r="V70" s="84"/>
      <c r="W70" s="85"/>
      <c r="X70" s="85"/>
      <c r="Y70" s="86"/>
      <c r="Z70" s="83"/>
      <c r="AA70" s="15"/>
      <c r="AB70" s="15"/>
      <c r="AC70" s="16"/>
    </row>
    <row r="71" spans="1:29" s="12" customFormat="1" ht="12.75">
      <c r="A71" s="186">
        <v>62</v>
      </c>
      <c r="B71" s="189" t="s">
        <v>77</v>
      </c>
      <c r="C71" s="313">
        <f>IF(MIN(D71:U71)=0,"  No Criteria",MIN(D71:U71))</f>
        <v>0.049</v>
      </c>
      <c r="D71" s="80"/>
      <c r="E71" s="205"/>
      <c r="F71" s="360"/>
      <c r="G71" s="360"/>
      <c r="H71" s="227"/>
      <c r="I71" s="228"/>
      <c r="J71" s="228"/>
      <c r="K71" s="229"/>
      <c r="L71" s="254"/>
      <c r="M71" s="228"/>
      <c r="N71" s="228"/>
      <c r="O71" s="205"/>
      <c r="P71" s="227"/>
      <c r="Q71" s="228"/>
      <c r="R71" s="254"/>
      <c r="S71" s="228"/>
      <c r="T71" s="180"/>
      <c r="U71" s="276">
        <v>0.049</v>
      </c>
      <c r="V71" s="84"/>
      <c r="W71" s="85"/>
      <c r="X71" s="85"/>
      <c r="Y71" s="86"/>
      <c r="Z71" s="83"/>
      <c r="AA71" s="15"/>
      <c r="AB71" s="15"/>
      <c r="AC71" s="16"/>
    </row>
    <row r="72" spans="1:29" ht="12.75">
      <c r="A72" s="186">
        <v>63</v>
      </c>
      <c r="B72" s="189" t="s">
        <v>78</v>
      </c>
      <c r="C72" s="310" t="str">
        <f>IF(MIN(D72:U72)=0,"No Criteria",MIN(D72:U72))</f>
        <v>No Criteria</v>
      </c>
      <c r="D72" s="80"/>
      <c r="E72" s="189"/>
      <c r="F72" s="274"/>
      <c r="G72" s="274"/>
      <c r="H72" s="80"/>
      <c r="I72" s="78"/>
      <c r="J72" s="78"/>
      <c r="K72" s="226"/>
      <c r="L72" s="180"/>
      <c r="M72" s="78"/>
      <c r="N72" s="78"/>
      <c r="O72" s="189"/>
      <c r="P72" s="80"/>
      <c r="Q72" s="78"/>
      <c r="R72" s="180"/>
      <c r="S72" s="78"/>
      <c r="T72" s="180"/>
      <c r="U72" s="274"/>
      <c r="V72" s="70"/>
      <c r="W72" s="71"/>
      <c r="X72" s="71"/>
      <c r="Y72" s="72"/>
      <c r="Z72" s="69"/>
      <c r="AA72" s="73"/>
      <c r="AB72" s="73"/>
      <c r="AC72" s="9"/>
    </row>
    <row r="73" spans="1:29" s="12" customFormat="1" ht="12.75">
      <c r="A73" s="186">
        <v>64</v>
      </c>
      <c r="B73" s="189" t="s">
        <v>79</v>
      </c>
      <c r="C73" s="313">
        <f>IF(MIN(D73:U73)=0,"  No Criteria",MIN(D73:U73))</f>
        <v>0.049</v>
      </c>
      <c r="D73" s="80"/>
      <c r="E73" s="205"/>
      <c r="F73" s="360"/>
      <c r="G73" s="360"/>
      <c r="H73" s="227"/>
      <c r="I73" s="228"/>
      <c r="J73" s="228"/>
      <c r="K73" s="229"/>
      <c r="L73" s="254"/>
      <c r="M73" s="228"/>
      <c r="N73" s="228"/>
      <c r="O73" s="205"/>
      <c r="P73" s="227"/>
      <c r="Q73" s="228"/>
      <c r="R73" s="254"/>
      <c r="S73" s="228"/>
      <c r="T73" s="180"/>
      <c r="U73" s="276">
        <v>0.049</v>
      </c>
      <c r="V73" s="84"/>
      <c r="W73" s="85"/>
      <c r="X73" s="85"/>
      <c r="Y73" s="86"/>
      <c r="Z73" s="83"/>
      <c r="AA73" s="15"/>
      <c r="AB73" s="15"/>
      <c r="AC73" s="16"/>
    </row>
    <row r="74" spans="1:29" ht="12.75">
      <c r="A74" s="186">
        <v>65</v>
      </c>
      <c r="B74" s="189" t="s">
        <v>80</v>
      </c>
      <c r="C74" s="310" t="str">
        <f>IF(MIN(D74:U74)=0,"No Criteria",MIN(D74:U74))</f>
        <v>No Criteria</v>
      </c>
      <c r="D74" s="80"/>
      <c r="E74" s="189"/>
      <c r="F74" s="274"/>
      <c r="G74" s="274"/>
      <c r="H74" s="80"/>
      <c r="I74" s="78"/>
      <c r="J74" s="78"/>
      <c r="K74" s="226"/>
      <c r="L74" s="180"/>
      <c r="M74" s="78"/>
      <c r="N74" s="78"/>
      <c r="O74" s="189"/>
      <c r="P74" s="80"/>
      <c r="Q74" s="78"/>
      <c r="R74" s="180"/>
      <c r="S74" s="78"/>
      <c r="T74" s="180"/>
      <c r="U74" s="274"/>
      <c r="V74" s="70"/>
      <c r="W74" s="71"/>
      <c r="X74" s="71"/>
      <c r="Y74" s="72"/>
      <c r="Z74" s="69"/>
      <c r="AA74" s="73"/>
      <c r="AB74" s="73"/>
      <c r="AC74" s="9"/>
    </row>
    <row r="75" spans="1:29" ht="12.75">
      <c r="A75" s="186">
        <v>66</v>
      </c>
      <c r="B75" s="189" t="s">
        <v>81</v>
      </c>
      <c r="C75" s="305">
        <f>IF(MIN(D75:U75)=0,"  No Criteria",MIN(D75:U75))</f>
        <v>1.4</v>
      </c>
      <c r="D75" s="80"/>
      <c r="E75" s="189"/>
      <c r="F75" s="274"/>
      <c r="G75" s="274"/>
      <c r="H75" s="80"/>
      <c r="I75" s="78"/>
      <c r="J75" s="78"/>
      <c r="K75" s="226"/>
      <c r="L75" s="180"/>
      <c r="M75" s="78"/>
      <c r="N75" s="78"/>
      <c r="O75" s="189"/>
      <c r="P75" s="80"/>
      <c r="Q75" s="78"/>
      <c r="R75" s="180"/>
      <c r="S75" s="78"/>
      <c r="T75" s="180"/>
      <c r="U75" s="272">
        <v>1.4</v>
      </c>
      <c r="V75" s="70"/>
      <c r="W75" s="71"/>
      <c r="X75" s="71"/>
      <c r="Y75" s="72"/>
      <c r="Z75" s="69"/>
      <c r="AA75" s="73"/>
      <c r="AB75" s="73"/>
      <c r="AC75" s="9"/>
    </row>
    <row r="76" spans="1:29" ht="12.75">
      <c r="A76" s="186">
        <v>67</v>
      </c>
      <c r="B76" s="189" t="s">
        <v>82</v>
      </c>
      <c r="C76" s="311">
        <f>IF(MIN(D76:U76)=0,"  No Criteria",MIN(D76:U76))</f>
        <v>170000</v>
      </c>
      <c r="D76" s="80"/>
      <c r="E76" s="189"/>
      <c r="F76" s="274"/>
      <c r="G76" s="274"/>
      <c r="H76" s="80"/>
      <c r="I76" s="78"/>
      <c r="J76" s="78"/>
      <c r="K76" s="226"/>
      <c r="L76" s="180"/>
      <c r="M76" s="78"/>
      <c r="N76" s="78"/>
      <c r="O76" s="189"/>
      <c r="P76" s="80"/>
      <c r="Q76" s="78"/>
      <c r="R76" s="180"/>
      <c r="S76" s="78"/>
      <c r="T76" s="180"/>
      <c r="U76" s="273">
        <v>170000</v>
      </c>
      <c r="V76" s="70"/>
      <c r="W76" s="71"/>
      <c r="X76" s="71"/>
      <c r="Y76" s="72"/>
      <c r="Z76" s="69"/>
      <c r="AA76" s="73"/>
      <c r="AB76" s="73"/>
      <c r="AC76" s="9"/>
    </row>
    <row r="77" spans="1:29" ht="12.75">
      <c r="A77" s="186">
        <v>68</v>
      </c>
      <c r="B77" s="189" t="s">
        <v>83</v>
      </c>
      <c r="C77" s="305">
        <f>IF(MIN(D77:U77)=0,"  No Criteria",MIN(D77:U77))</f>
        <v>5.9</v>
      </c>
      <c r="D77" s="80"/>
      <c r="E77" s="189"/>
      <c r="F77" s="274"/>
      <c r="G77" s="274"/>
      <c r="H77" s="80"/>
      <c r="I77" s="78"/>
      <c r="J77" s="78"/>
      <c r="K77" s="226"/>
      <c r="L77" s="180"/>
      <c r="M77" s="78"/>
      <c r="N77" s="78"/>
      <c r="O77" s="189"/>
      <c r="P77" s="80"/>
      <c r="Q77" s="78"/>
      <c r="R77" s="180"/>
      <c r="S77" s="78"/>
      <c r="T77" s="180"/>
      <c r="U77" s="272">
        <v>5.9</v>
      </c>
      <c r="V77" s="70"/>
      <c r="W77" s="71"/>
      <c r="X77" s="71"/>
      <c r="Y77" s="72"/>
      <c r="Z77" s="69"/>
      <c r="AA77" s="73"/>
      <c r="AB77" s="73"/>
      <c r="AC77" s="9"/>
    </row>
    <row r="78" spans="1:29" ht="12.75">
      <c r="A78" s="186">
        <v>69</v>
      </c>
      <c r="B78" s="189" t="s">
        <v>84</v>
      </c>
      <c r="C78" s="310" t="str">
        <f>IF(MIN(D78:U78)=0,"No Criteria",MIN(D78:U78))</f>
        <v>No Criteria</v>
      </c>
      <c r="D78" s="80"/>
      <c r="E78" s="189"/>
      <c r="F78" s="274"/>
      <c r="G78" s="274"/>
      <c r="H78" s="80"/>
      <c r="I78" s="78"/>
      <c r="J78" s="78"/>
      <c r="K78" s="226"/>
      <c r="L78" s="180"/>
      <c r="M78" s="78"/>
      <c r="N78" s="78"/>
      <c r="O78" s="189"/>
      <c r="P78" s="80"/>
      <c r="Q78" s="78"/>
      <c r="R78" s="180"/>
      <c r="S78" s="78"/>
      <c r="T78" s="180"/>
      <c r="U78" s="274"/>
      <c r="V78" s="70"/>
      <c r="W78" s="71"/>
      <c r="X78" s="71"/>
      <c r="Y78" s="72"/>
      <c r="Z78" s="69"/>
      <c r="AA78" s="73"/>
      <c r="AB78" s="73"/>
      <c r="AC78" s="9"/>
    </row>
    <row r="79" spans="1:29" ht="12.75">
      <c r="A79" s="186">
        <v>70</v>
      </c>
      <c r="B79" s="189" t="s">
        <v>85</v>
      </c>
      <c r="C79" s="311">
        <f>IF(MIN(D79:U79)=0,"  No Criteria",MIN(D79:U79))</f>
        <v>5200</v>
      </c>
      <c r="D79" s="80"/>
      <c r="E79" s="189"/>
      <c r="F79" s="274"/>
      <c r="G79" s="274"/>
      <c r="H79" s="80"/>
      <c r="I79" s="78"/>
      <c r="J79" s="78"/>
      <c r="K79" s="226"/>
      <c r="L79" s="180"/>
      <c r="M79" s="78"/>
      <c r="N79" s="78"/>
      <c r="O79" s="189"/>
      <c r="P79" s="80"/>
      <c r="Q79" s="78"/>
      <c r="R79" s="180"/>
      <c r="S79" s="78"/>
      <c r="T79" s="180"/>
      <c r="U79" s="273">
        <v>5200</v>
      </c>
      <c r="V79" s="70"/>
      <c r="W79" s="71"/>
      <c r="X79" s="71"/>
      <c r="Y79" s="72"/>
      <c r="Z79" s="69"/>
      <c r="AA79" s="73"/>
      <c r="AB79" s="73"/>
      <c r="AC79" s="9"/>
    </row>
    <row r="80" spans="1:29" ht="12.75">
      <c r="A80" s="186">
        <v>71</v>
      </c>
      <c r="B80" s="189" t="s">
        <v>86</v>
      </c>
      <c r="C80" s="311">
        <f>IF(MIN(D80:U80)=0,"  No Criteria",MIN(D80:U80))</f>
        <v>4300</v>
      </c>
      <c r="D80" s="80"/>
      <c r="E80" s="189"/>
      <c r="F80" s="274"/>
      <c r="G80" s="274"/>
      <c r="H80" s="80"/>
      <c r="I80" s="78"/>
      <c r="J80" s="78"/>
      <c r="K80" s="226"/>
      <c r="L80" s="180"/>
      <c r="M80" s="78"/>
      <c r="N80" s="78"/>
      <c r="O80" s="189"/>
      <c r="P80" s="80"/>
      <c r="Q80" s="78"/>
      <c r="R80" s="180"/>
      <c r="S80" s="78"/>
      <c r="T80" s="180"/>
      <c r="U80" s="273">
        <v>4300</v>
      </c>
      <c r="V80" s="70"/>
      <c r="W80" s="71"/>
      <c r="X80" s="71"/>
      <c r="Y80" s="72"/>
      <c r="Z80" s="69"/>
      <c r="AA80" s="73"/>
      <c r="AB80" s="73"/>
      <c r="AC80" s="9"/>
    </row>
    <row r="81" spans="1:29" ht="12.75">
      <c r="A81" s="186">
        <v>72</v>
      </c>
      <c r="B81" s="189" t="s">
        <v>87</v>
      </c>
      <c r="C81" s="310" t="str">
        <f>IF(MIN(D81:U81)=0,"No Criteria",MIN(D81:U81))</f>
        <v>No Criteria</v>
      </c>
      <c r="D81" s="80"/>
      <c r="E81" s="189"/>
      <c r="F81" s="274"/>
      <c r="G81" s="274"/>
      <c r="H81" s="80"/>
      <c r="I81" s="78"/>
      <c r="J81" s="78"/>
      <c r="K81" s="226"/>
      <c r="L81" s="180"/>
      <c r="M81" s="78"/>
      <c r="N81" s="78"/>
      <c r="O81" s="189"/>
      <c r="P81" s="80"/>
      <c r="Q81" s="78"/>
      <c r="R81" s="180"/>
      <c r="S81" s="78"/>
      <c r="T81" s="180"/>
      <c r="U81" s="274"/>
      <c r="V81" s="70"/>
      <c r="W81" s="71"/>
      <c r="X81" s="71"/>
      <c r="Y81" s="72"/>
      <c r="Z81" s="69"/>
      <c r="AA81" s="73"/>
      <c r="AB81" s="73"/>
      <c r="AC81" s="9"/>
    </row>
    <row r="82" spans="1:29" s="12" customFormat="1" ht="12.75">
      <c r="A82" s="191">
        <v>73</v>
      </c>
      <c r="B82" s="189" t="s">
        <v>88</v>
      </c>
      <c r="C82" s="313">
        <f aca="true" t="shared" si="3" ref="C82:C91">IF(MIN(D82:U82)=0,"  No Criteria",MIN(D82:U82))</f>
        <v>0.049</v>
      </c>
      <c r="D82" s="80"/>
      <c r="E82" s="205"/>
      <c r="F82" s="360"/>
      <c r="G82" s="360"/>
      <c r="H82" s="227"/>
      <c r="I82" s="228"/>
      <c r="J82" s="228"/>
      <c r="K82" s="229"/>
      <c r="L82" s="254"/>
      <c r="M82" s="228"/>
      <c r="N82" s="228"/>
      <c r="O82" s="205"/>
      <c r="P82" s="227"/>
      <c r="Q82" s="228"/>
      <c r="R82" s="254"/>
      <c r="S82" s="228"/>
      <c r="T82" s="180"/>
      <c r="U82" s="276">
        <v>0.049</v>
      </c>
      <c r="V82" s="84"/>
      <c r="W82" s="85"/>
      <c r="X82" s="85"/>
      <c r="Y82" s="86"/>
      <c r="Z82" s="83"/>
      <c r="AA82" s="15"/>
      <c r="AB82" s="15"/>
      <c r="AC82" s="16"/>
    </row>
    <row r="83" spans="1:29" s="12" customFormat="1" ht="12.75">
      <c r="A83" s="191">
        <v>74</v>
      </c>
      <c r="B83" s="189" t="s">
        <v>89</v>
      </c>
      <c r="C83" s="313">
        <f t="shared" si="3"/>
        <v>0.049</v>
      </c>
      <c r="D83" s="80"/>
      <c r="E83" s="205"/>
      <c r="F83" s="360"/>
      <c r="G83" s="360"/>
      <c r="H83" s="227"/>
      <c r="I83" s="228"/>
      <c r="J83" s="228"/>
      <c r="K83" s="229"/>
      <c r="L83" s="254"/>
      <c r="M83" s="228"/>
      <c r="N83" s="228"/>
      <c r="O83" s="205"/>
      <c r="P83" s="227"/>
      <c r="Q83" s="228"/>
      <c r="R83" s="254"/>
      <c r="S83" s="228"/>
      <c r="T83" s="180"/>
      <c r="U83" s="276">
        <v>0.049</v>
      </c>
      <c r="V83" s="84"/>
      <c r="W83" s="85"/>
      <c r="X83" s="85"/>
      <c r="Y83" s="86"/>
      <c r="Z83" s="83"/>
      <c r="AA83" s="15"/>
      <c r="AB83" s="15"/>
      <c r="AC83" s="16"/>
    </row>
    <row r="84" spans="1:29" ht="12.75">
      <c r="A84" s="186">
        <v>75</v>
      </c>
      <c r="B84" s="189" t="s">
        <v>90</v>
      </c>
      <c r="C84" s="311">
        <f t="shared" si="3"/>
        <v>17000</v>
      </c>
      <c r="D84" s="80"/>
      <c r="E84" s="189"/>
      <c r="F84" s="274"/>
      <c r="G84" s="274"/>
      <c r="H84" s="80"/>
      <c r="I84" s="78"/>
      <c r="J84" s="78"/>
      <c r="K84" s="226"/>
      <c r="L84" s="180"/>
      <c r="M84" s="78"/>
      <c r="N84" s="78"/>
      <c r="O84" s="189"/>
      <c r="P84" s="80"/>
      <c r="Q84" s="78"/>
      <c r="R84" s="180"/>
      <c r="S84" s="78"/>
      <c r="T84" s="180"/>
      <c r="U84" s="273">
        <v>17000</v>
      </c>
      <c r="V84" s="70"/>
      <c r="W84" s="71"/>
      <c r="X84" s="71"/>
      <c r="Y84" s="72"/>
      <c r="Z84" s="69"/>
      <c r="AA84" s="73"/>
      <c r="AB84" s="73"/>
      <c r="AC84" s="9"/>
    </row>
    <row r="85" spans="1:29" ht="12.75">
      <c r="A85" s="186">
        <v>76</v>
      </c>
      <c r="B85" s="189" t="s">
        <v>91</v>
      </c>
      <c r="C85" s="311">
        <f t="shared" si="3"/>
        <v>2600</v>
      </c>
      <c r="D85" s="80"/>
      <c r="E85" s="189"/>
      <c r="F85" s="274"/>
      <c r="G85" s="274"/>
      <c r="H85" s="80"/>
      <c r="I85" s="78"/>
      <c r="J85" s="78"/>
      <c r="K85" s="226"/>
      <c r="L85" s="180"/>
      <c r="M85" s="78"/>
      <c r="N85" s="78"/>
      <c r="O85" s="189"/>
      <c r="P85" s="80"/>
      <c r="Q85" s="78"/>
      <c r="R85" s="180"/>
      <c r="S85" s="78"/>
      <c r="T85" s="180"/>
      <c r="U85" s="273">
        <v>2600</v>
      </c>
      <c r="V85" s="70"/>
      <c r="W85" s="71"/>
      <c r="X85" s="71"/>
      <c r="Y85" s="72"/>
      <c r="Z85" s="69"/>
      <c r="AA85" s="73"/>
      <c r="AB85" s="73"/>
      <c r="AC85" s="9"/>
    </row>
    <row r="86" spans="1:29" ht="12.75">
      <c r="A86" s="186">
        <v>77</v>
      </c>
      <c r="B86" s="189" t="s">
        <v>92</v>
      </c>
      <c r="C86" s="311">
        <f t="shared" si="3"/>
        <v>2600</v>
      </c>
      <c r="D86" s="80"/>
      <c r="E86" s="189"/>
      <c r="F86" s="274"/>
      <c r="G86" s="274"/>
      <c r="H86" s="80"/>
      <c r="I86" s="78"/>
      <c r="J86" s="78"/>
      <c r="K86" s="226"/>
      <c r="L86" s="180"/>
      <c r="M86" s="78"/>
      <c r="N86" s="78"/>
      <c r="O86" s="189"/>
      <c r="P86" s="80"/>
      <c r="Q86" s="78"/>
      <c r="R86" s="180"/>
      <c r="S86" s="78"/>
      <c r="T86" s="180"/>
      <c r="U86" s="273">
        <v>2600</v>
      </c>
      <c r="V86" s="70"/>
      <c r="W86" s="71"/>
      <c r="X86" s="71"/>
      <c r="Y86" s="72"/>
      <c r="Z86" s="69"/>
      <c r="AA86" s="73"/>
      <c r="AB86" s="73"/>
      <c r="AC86" s="9"/>
    </row>
    <row r="87" spans="1:29" ht="12.75">
      <c r="A87" s="186">
        <v>78</v>
      </c>
      <c r="B87" s="189" t="s">
        <v>219</v>
      </c>
      <c r="C87" s="313">
        <f t="shared" si="3"/>
        <v>0.077</v>
      </c>
      <c r="D87" s="80"/>
      <c r="E87" s="189"/>
      <c r="F87" s="274"/>
      <c r="G87" s="274"/>
      <c r="H87" s="80"/>
      <c r="I87" s="78"/>
      <c r="J87" s="78"/>
      <c r="K87" s="226"/>
      <c r="L87" s="180"/>
      <c r="M87" s="78"/>
      <c r="N87" s="78"/>
      <c r="O87" s="189"/>
      <c r="P87" s="80"/>
      <c r="Q87" s="78"/>
      <c r="R87" s="180"/>
      <c r="S87" s="78"/>
      <c r="T87" s="180"/>
      <c r="U87" s="276">
        <v>0.077</v>
      </c>
      <c r="V87" s="70"/>
      <c r="W87" s="71"/>
      <c r="X87" s="71"/>
      <c r="Y87" s="72"/>
      <c r="Z87" s="69"/>
      <c r="AA87" s="73"/>
      <c r="AB87" s="73"/>
      <c r="AC87" s="9"/>
    </row>
    <row r="88" spans="1:29" ht="12.75">
      <c r="A88" s="186">
        <v>79</v>
      </c>
      <c r="B88" s="189" t="s">
        <v>94</v>
      </c>
      <c r="C88" s="311">
        <f t="shared" si="3"/>
        <v>120000</v>
      </c>
      <c r="D88" s="80"/>
      <c r="E88" s="189"/>
      <c r="F88" s="274"/>
      <c r="G88" s="274"/>
      <c r="H88" s="80"/>
      <c r="I88" s="78"/>
      <c r="J88" s="78"/>
      <c r="K88" s="226"/>
      <c r="L88" s="180"/>
      <c r="M88" s="78"/>
      <c r="N88" s="78"/>
      <c r="O88" s="189"/>
      <c r="P88" s="80"/>
      <c r="Q88" s="78"/>
      <c r="R88" s="180"/>
      <c r="S88" s="78"/>
      <c r="T88" s="180"/>
      <c r="U88" s="273">
        <v>120000</v>
      </c>
      <c r="V88" s="70"/>
      <c r="W88" s="71"/>
      <c r="X88" s="71"/>
      <c r="Y88" s="72"/>
      <c r="Z88" s="69"/>
      <c r="AA88" s="73"/>
      <c r="AB88" s="73"/>
      <c r="AC88" s="9"/>
    </row>
    <row r="89" spans="1:29" ht="12.75">
      <c r="A89" s="186">
        <v>80</v>
      </c>
      <c r="B89" s="189" t="s">
        <v>95</v>
      </c>
      <c r="C89" s="311">
        <f t="shared" si="3"/>
        <v>2900000</v>
      </c>
      <c r="D89" s="80"/>
      <c r="E89" s="189"/>
      <c r="F89" s="274"/>
      <c r="G89" s="274"/>
      <c r="H89" s="80"/>
      <c r="I89" s="78"/>
      <c r="J89" s="78"/>
      <c r="K89" s="226"/>
      <c r="L89" s="180"/>
      <c r="M89" s="78"/>
      <c r="N89" s="78"/>
      <c r="O89" s="189"/>
      <c r="P89" s="80"/>
      <c r="Q89" s="78"/>
      <c r="R89" s="180"/>
      <c r="S89" s="78"/>
      <c r="T89" s="180"/>
      <c r="U89" s="273">
        <v>2900000</v>
      </c>
      <c r="V89" s="70"/>
      <c r="W89" s="71"/>
      <c r="X89" s="71"/>
      <c r="Y89" s="72"/>
      <c r="Z89" s="69"/>
      <c r="AA89" s="73"/>
      <c r="AB89" s="73"/>
      <c r="AC89" s="9"/>
    </row>
    <row r="90" spans="1:29" ht="12.75">
      <c r="A90" s="186">
        <v>81</v>
      </c>
      <c r="B90" s="189" t="s">
        <v>96</v>
      </c>
      <c r="C90" s="311">
        <f t="shared" si="3"/>
        <v>12000</v>
      </c>
      <c r="D90" s="80"/>
      <c r="E90" s="189"/>
      <c r="F90" s="274"/>
      <c r="G90" s="274"/>
      <c r="H90" s="80"/>
      <c r="I90" s="78"/>
      <c r="J90" s="78"/>
      <c r="K90" s="226"/>
      <c r="L90" s="180"/>
      <c r="M90" s="78"/>
      <c r="N90" s="78"/>
      <c r="O90" s="189"/>
      <c r="P90" s="80"/>
      <c r="Q90" s="78"/>
      <c r="R90" s="180"/>
      <c r="S90" s="78"/>
      <c r="T90" s="180"/>
      <c r="U90" s="273">
        <v>12000</v>
      </c>
      <c r="V90" s="70"/>
      <c r="W90" s="71"/>
      <c r="X90" s="71"/>
      <c r="Y90" s="72"/>
      <c r="Z90" s="69"/>
      <c r="AA90" s="73"/>
      <c r="AB90" s="73"/>
      <c r="AC90" s="9"/>
    </row>
    <row r="91" spans="1:29" ht="12.75">
      <c r="A91" s="186">
        <v>82</v>
      </c>
      <c r="B91" s="189" t="s">
        <v>97</v>
      </c>
      <c r="C91" s="305">
        <f t="shared" si="3"/>
        <v>9.1</v>
      </c>
      <c r="D91" s="80"/>
      <c r="E91" s="189"/>
      <c r="F91" s="274"/>
      <c r="G91" s="274"/>
      <c r="H91" s="80"/>
      <c r="I91" s="78"/>
      <c r="J91" s="78"/>
      <c r="K91" s="226"/>
      <c r="L91" s="180"/>
      <c r="M91" s="78"/>
      <c r="N91" s="78"/>
      <c r="O91" s="189"/>
      <c r="P91" s="80"/>
      <c r="Q91" s="78"/>
      <c r="R91" s="180"/>
      <c r="S91" s="78"/>
      <c r="T91" s="180"/>
      <c r="U91" s="272">
        <v>9.1</v>
      </c>
      <c r="V91" s="70"/>
      <c r="W91" s="71"/>
      <c r="X91" s="71"/>
      <c r="Y91" s="72"/>
      <c r="Z91" s="69"/>
      <c r="AA91" s="73"/>
      <c r="AB91" s="73"/>
      <c r="AC91" s="9"/>
    </row>
    <row r="92" spans="1:29" ht="12.75">
      <c r="A92" s="186">
        <v>83</v>
      </c>
      <c r="B92" s="189" t="s">
        <v>98</v>
      </c>
      <c r="C92" s="310" t="str">
        <f>IF(MIN(D92:U92)=0,"No Criteria",MIN(D92:U92))</f>
        <v>No Criteria</v>
      </c>
      <c r="D92" s="80"/>
      <c r="E92" s="189"/>
      <c r="F92" s="274"/>
      <c r="G92" s="274"/>
      <c r="H92" s="80"/>
      <c r="I92" s="78"/>
      <c r="J92" s="78"/>
      <c r="K92" s="226"/>
      <c r="L92" s="180"/>
      <c r="M92" s="78"/>
      <c r="N92" s="78"/>
      <c r="O92" s="189"/>
      <c r="P92" s="80"/>
      <c r="Q92" s="78"/>
      <c r="R92" s="180"/>
      <c r="S92" s="78"/>
      <c r="T92" s="180"/>
      <c r="U92" s="274"/>
      <c r="V92" s="70"/>
      <c r="W92" s="71"/>
      <c r="X92" s="71"/>
      <c r="Y92" s="72"/>
      <c r="Z92" s="69"/>
      <c r="AA92" s="73"/>
      <c r="AB92" s="73"/>
      <c r="AC92" s="9"/>
    </row>
    <row r="93" spans="1:29" ht="12.75">
      <c r="A93" s="186">
        <v>84</v>
      </c>
      <c r="B93" s="189" t="s">
        <v>99</v>
      </c>
      <c r="C93" s="310" t="str">
        <f>IF(MIN(D93:U93)=0,"No Criteria",MIN(D93:U93))</f>
        <v>No Criteria</v>
      </c>
      <c r="D93" s="80"/>
      <c r="E93" s="189"/>
      <c r="F93" s="274"/>
      <c r="G93" s="274"/>
      <c r="H93" s="80"/>
      <c r="I93" s="78"/>
      <c r="J93" s="78"/>
      <c r="K93" s="226"/>
      <c r="L93" s="180"/>
      <c r="M93" s="78"/>
      <c r="N93" s="78"/>
      <c r="O93" s="189"/>
      <c r="P93" s="80"/>
      <c r="Q93" s="78"/>
      <c r="R93" s="180"/>
      <c r="S93" s="78"/>
      <c r="T93" s="180"/>
      <c r="U93" s="274"/>
      <c r="V93" s="70"/>
      <c r="W93" s="71"/>
      <c r="X93" s="71"/>
      <c r="Y93" s="72"/>
      <c r="Z93" s="69"/>
      <c r="AA93" s="73"/>
      <c r="AB93" s="73"/>
      <c r="AC93" s="9"/>
    </row>
    <row r="94" spans="1:29" ht="12.75">
      <c r="A94" s="186">
        <v>85</v>
      </c>
      <c r="B94" s="189" t="s">
        <v>100</v>
      </c>
      <c r="C94" s="305">
        <f aca="true" t="shared" si="4" ref="C94:C102">IF(MIN(D94:U94)=0,"  No Criteria",MIN(D94:U94))</f>
        <v>0.54</v>
      </c>
      <c r="D94" s="80"/>
      <c r="E94" s="189"/>
      <c r="F94" s="274"/>
      <c r="G94" s="274"/>
      <c r="H94" s="80"/>
      <c r="I94" s="78"/>
      <c r="J94" s="78"/>
      <c r="K94" s="226"/>
      <c r="L94" s="180"/>
      <c r="M94" s="78"/>
      <c r="N94" s="78"/>
      <c r="O94" s="189"/>
      <c r="P94" s="80"/>
      <c r="Q94" s="78"/>
      <c r="R94" s="180"/>
      <c r="S94" s="78"/>
      <c r="T94" s="180"/>
      <c r="U94" s="271">
        <v>0.54</v>
      </c>
      <c r="V94" s="70"/>
      <c r="W94" s="71"/>
      <c r="X94" s="71"/>
      <c r="Y94" s="72"/>
      <c r="Z94" s="69"/>
      <c r="AA94" s="73"/>
      <c r="AB94" s="73"/>
      <c r="AC94" s="9"/>
    </row>
    <row r="95" spans="1:29" ht="12.75">
      <c r="A95" s="186">
        <v>86</v>
      </c>
      <c r="B95" s="189" t="s">
        <v>101</v>
      </c>
      <c r="C95" s="311">
        <f t="shared" si="4"/>
        <v>370</v>
      </c>
      <c r="D95" s="80"/>
      <c r="E95" s="189"/>
      <c r="F95" s="274"/>
      <c r="G95" s="274"/>
      <c r="H95" s="80"/>
      <c r="I95" s="78"/>
      <c r="J95" s="78"/>
      <c r="K95" s="226"/>
      <c r="L95" s="180"/>
      <c r="M95" s="78"/>
      <c r="N95" s="78"/>
      <c r="O95" s="189"/>
      <c r="P95" s="80"/>
      <c r="Q95" s="78"/>
      <c r="R95" s="180"/>
      <c r="S95" s="78"/>
      <c r="T95" s="180"/>
      <c r="U95" s="270">
        <v>370</v>
      </c>
      <c r="V95" s="70"/>
      <c r="W95" s="71"/>
      <c r="X95" s="71"/>
      <c r="Y95" s="72"/>
      <c r="Z95" s="69"/>
      <c r="AA95" s="73"/>
      <c r="AB95" s="73"/>
      <c r="AC95" s="9"/>
    </row>
    <row r="96" spans="1:29" ht="12.75">
      <c r="A96" s="186">
        <v>87</v>
      </c>
      <c r="B96" s="189" t="s">
        <v>102</v>
      </c>
      <c r="C96" s="311">
        <f t="shared" si="4"/>
        <v>14000</v>
      </c>
      <c r="D96" s="80"/>
      <c r="E96" s="189"/>
      <c r="F96" s="274"/>
      <c r="G96" s="274"/>
      <c r="H96" s="80"/>
      <c r="I96" s="78"/>
      <c r="J96" s="78"/>
      <c r="K96" s="226"/>
      <c r="L96" s="180"/>
      <c r="M96" s="78"/>
      <c r="N96" s="78"/>
      <c r="O96" s="189"/>
      <c r="P96" s="80"/>
      <c r="Q96" s="78"/>
      <c r="R96" s="180"/>
      <c r="S96" s="78"/>
      <c r="T96" s="180"/>
      <c r="U96" s="273">
        <v>14000</v>
      </c>
      <c r="V96" s="70"/>
      <c r="W96" s="71"/>
      <c r="X96" s="71"/>
      <c r="Y96" s="72"/>
      <c r="Z96" s="69"/>
      <c r="AA96" s="73"/>
      <c r="AB96" s="73"/>
      <c r="AC96" s="9"/>
    </row>
    <row r="97" spans="1:29" ht="12.75">
      <c r="A97" s="186">
        <v>88</v>
      </c>
      <c r="B97" s="189" t="s">
        <v>103</v>
      </c>
      <c r="C97" s="312">
        <f t="shared" si="4"/>
        <v>0.00077</v>
      </c>
      <c r="D97" s="80"/>
      <c r="E97" s="189"/>
      <c r="F97" s="274"/>
      <c r="G97" s="274"/>
      <c r="H97" s="80"/>
      <c r="I97" s="78"/>
      <c r="J97" s="78"/>
      <c r="K97" s="226"/>
      <c r="L97" s="180"/>
      <c r="M97" s="78"/>
      <c r="N97" s="78"/>
      <c r="O97" s="189"/>
      <c r="P97" s="80"/>
      <c r="Q97" s="78"/>
      <c r="R97" s="180"/>
      <c r="S97" s="78"/>
      <c r="T97" s="180"/>
      <c r="U97" s="275">
        <v>0.00077</v>
      </c>
      <c r="V97" s="70"/>
      <c r="W97" s="71"/>
      <c r="X97" s="71"/>
      <c r="Y97" s="72"/>
      <c r="Z97" s="69"/>
      <c r="AA97" s="73"/>
      <c r="AB97" s="73"/>
      <c r="AC97" s="9"/>
    </row>
    <row r="98" spans="1:29" ht="12.75">
      <c r="A98" s="186">
        <v>89</v>
      </c>
      <c r="B98" s="189" t="s">
        <v>104</v>
      </c>
      <c r="C98" s="308">
        <f t="shared" si="4"/>
        <v>50</v>
      </c>
      <c r="D98" s="80"/>
      <c r="E98" s="189"/>
      <c r="F98" s="274"/>
      <c r="G98" s="274"/>
      <c r="H98" s="80"/>
      <c r="I98" s="78"/>
      <c r="J98" s="78"/>
      <c r="K98" s="226"/>
      <c r="L98" s="180"/>
      <c r="M98" s="78"/>
      <c r="N98" s="78"/>
      <c r="O98" s="189"/>
      <c r="P98" s="80"/>
      <c r="Q98" s="78"/>
      <c r="R98" s="180"/>
      <c r="S98" s="78"/>
      <c r="T98" s="180"/>
      <c r="U98" s="270">
        <v>50</v>
      </c>
      <c r="V98" s="70"/>
      <c r="W98" s="71"/>
      <c r="X98" s="71"/>
      <c r="Y98" s="72"/>
      <c r="Z98" s="69"/>
      <c r="AA98" s="73"/>
      <c r="AB98" s="73"/>
      <c r="AC98" s="9"/>
    </row>
    <row r="99" spans="1:29" ht="12.75">
      <c r="A99" s="186">
        <v>90</v>
      </c>
      <c r="B99" s="189" t="s">
        <v>105</v>
      </c>
      <c r="C99" s="311">
        <f t="shared" si="4"/>
        <v>17000</v>
      </c>
      <c r="D99" s="80"/>
      <c r="E99" s="189"/>
      <c r="F99" s="274"/>
      <c r="G99" s="274"/>
      <c r="H99" s="80"/>
      <c r="I99" s="78"/>
      <c r="J99" s="78"/>
      <c r="K99" s="226"/>
      <c r="L99" s="180"/>
      <c r="M99" s="78"/>
      <c r="N99" s="78"/>
      <c r="O99" s="189"/>
      <c r="P99" s="80"/>
      <c r="Q99" s="78"/>
      <c r="R99" s="180"/>
      <c r="S99" s="78"/>
      <c r="T99" s="180"/>
      <c r="U99" s="273">
        <v>17000</v>
      </c>
      <c r="V99" s="70"/>
      <c r="W99" s="71"/>
      <c r="X99" s="71"/>
      <c r="Y99" s="72"/>
      <c r="Z99" s="69"/>
      <c r="AA99" s="73"/>
      <c r="AB99" s="73"/>
      <c r="AC99" s="9"/>
    </row>
    <row r="100" spans="1:29" ht="12.75">
      <c r="A100" s="186">
        <v>91</v>
      </c>
      <c r="B100" s="189" t="s">
        <v>106</v>
      </c>
      <c r="C100" s="305">
        <f t="shared" si="4"/>
        <v>8.9</v>
      </c>
      <c r="D100" s="80"/>
      <c r="E100" s="189"/>
      <c r="F100" s="274"/>
      <c r="G100" s="274"/>
      <c r="H100" s="80"/>
      <c r="I100" s="78"/>
      <c r="J100" s="78"/>
      <c r="K100" s="226"/>
      <c r="L100" s="180"/>
      <c r="M100" s="78"/>
      <c r="N100" s="78"/>
      <c r="O100" s="189"/>
      <c r="P100" s="80"/>
      <c r="Q100" s="78"/>
      <c r="R100" s="180"/>
      <c r="S100" s="78"/>
      <c r="T100" s="180"/>
      <c r="U100" s="272">
        <v>8.9</v>
      </c>
      <c r="V100" s="70"/>
      <c r="W100" s="71"/>
      <c r="X100" s="71"/>
      <c r="Y100" s="72"/>
      <c r="Z100" s="69"/>
      <c r="AA100" s="73"/>
      <c r="AB100" s="73"/>
      <c r="AC100" s="9"/>
    </row>
    <row r="101" spans="1:29" s="12" customFormat="1" ht="12.75">
      <c r="A101" s="186">
        <v>92</v>
      </c>
      <c r="B101" s="189" t="s">
        <v>220</v>
      </c>
      <c r="C101" s="313">
        <f t="shared" si="4"/>
        <v>0.049</v>
      </c>
      <c r="D101" s="80"/>
      <c r="E101" s="205"/>
      <c r="F101" s="360"/>
      <c r="G101" s="360"/>
      <c r="H101" s="227"/>
      <c r="I101" s="228"/>
      <c r="J101" s="228"/>
      <c r="K101" s="229"/>
      <c r="L101" s="254"/>
      <c r="M101" s="228"/>
      <c r="N101" s="228"/>
      <c r="O101" s="205"/>
      <c r="P101" s="227"/>
      <c r="Q101" s="228"/>
      <c r="R101" s="254"/>
      <c r="S101" s="228"/>
      <c r="T101" s="180"/>
      <c r="U101" s="276">
        <v>0.049</v>
      </c>
      <c r="V101" s="84"/>
      <c r="W101" s="85"/>
      <c r="X101" s="85"/>
      <c r="Y101" s="86"/>
      <c r="Z101" s="83"/>
      <c r="AA101" s="15"/>
      <c r="AB101" s="15"/>
      <c r="AC101" s="16"/>
    </row>
    <row r="102" spans="1:29" ht="12.75">
      <c r="A102" s="186">
        <v>93</v>
      </c>
      <c r="B102" s="189" t="s">
        <v>108</v>
      </c>
      <c r="C102" s="308">
        <f t="shared" si="4"/>
        <v>600</v>
      </c>
      <c r="D102" s="80"/>
      <c r="E102" s="189"/>
      <c r="F102" s="274"/>
      <c r="G102" s="274"/>
      <c r="H102" s="80"/>
      <c r="I102" s="78"/>
      <c r="J102" s="78"/>
      <c r="K102" s="226"/>
      <c r="L102" s="180"/>
      <c r="M102" s="78"/>
      <c r="N102" s="78"/>
      <c r="O102" s="189"/>
      <c r="P102" s="80"/>
      <c r="Q102" s="78"/>
      <c r="R102" s="180"/>
      <c r="S102" s="78"/>
      <c r="T102" s="180"/>
      <c r="U102" s="270">
        <v>600</v>
      </c>
      <c r="V102" s="70"/>
      <c r="W102" s="71"/>
      <c r="X102" s="71"/>
      <c r="Y102" s="72"/>
      <c r="Z102" s="69"/>
      <c r="AA102" s="73"/>
      <c r="AB102" s="73"/>
      <c r="AC102" s="9"/>
    </row>
    <row r="103" spans="1:29" ht="12.75">
      <c r="A103" s="186">
        <v>94</v>
      </c>
      <c r="B103" s="189" t="s">
        <v>221</v>
      </c>
      <c r="C103" s="310" t="str">
        <f>IF(MIN(D103:U103)=0,"No Criteria",MIN(D103:U103))</f>
        <v>No Criteria</v>
      </c>
      <c r="D103" s="80"/>
      <c r="E103" s="189"/>
      <c r="F103" s="274"/>
      <c r="G103" s="274"/>
      <c r="H103" s="80"/>
      <c r="I103" s="78"/>
      <c r="J103" s="78"/>
      <c r="K103" s="226"/>
      <c r="L103" s="180"/>
      <c r="M103" s="78"/>
      <c r="N103" s="78"/>
      <c r="O103" s="189"/>
      <c r="P103" s="80"/>
      <c r="Q103" s="78"/>
      <c r="R103" s="180"/>
      <c r="S103" s="78"/>
      <c r="T103" s="180"/>
      <c r="U103" s="274"/>
      <c r="V103" s="70"/>
      <c r="W103" s="71"/>
      <c r="X103" s="71"/>
      <c r="Y103" s="72"/>
      <c r="Z103" s="69"/>
      <c r="AA103" s="73"/>
      <c r="AB103" s="73"/>
      <c r="AC103" s="9"/>
    </row>
    <row r="104" spans="1:29" ht="12.75">
      <c r="A104" s="186">
        <v>95</v>
      </c>
      <c r="B104" s="189" t="s">
        <v>110</v>
      </c>
      <c r="C104" s="311">
        <f>IF(MIN(D104:U104)=0,"  No Criteria",MIN(D104:U104))</f>
        <v>1900</v>
      </c>
      <c r="D104" s="80"/>
      <c r="E104" s="189"/>
      <c r="F104" s="274"/>
      <c r="G104" s="274"/>
      <c r="H104" s="80"/>
      <c r="I104" s="78"/>
      <c r="J104" s="78"/>
      <c r="K104" s="226"/>
      <c r="L104" s="180"/>
      <c r="M104" s="78"/>
      <c r="N104" s="78"/>
      <c r="O104" s="189"/>
      <c r="P104" s="80"/>
      <c r="Q104" s="78"/>
      <c r="R104" s="180"/>
      <c r="S104" s="78"/>
      <c r="T104" s="180"/>
      <c r="U104" s="273">
        <v>1900</v>
      </c>
      <c r="V104" s="70"/>
      <c r="W104" s="71"/>
      <c r="X104" s="71"/>
      <c r="Y104" s="72"/>
      <c r="Z104" s="69"/>
      <c r="AA104" s="73"/>
      <c r="AB104" s="73"/>
      <c r="AC104" s="9"/>
    </row>
    <row r="105" spans="1:29" ht="12.75">
      <c r="A105" s="186">
        <v>96</v>
      </c>
      <c r="B105" s="189" t="s">
        <v>111</v>
      </c>
      <c r="C105" s="305">
        <f>IF(MIN(D105:U105)=0,"  No Criteria",MIN(D105:U105))</f>
        <v>8.1</v>
      </c>
      <c r="D105" s="80"/>
      <c r="E105" s="189"/>
      <c r="F105" s="274"/>
      <c r="G105" s="274"/>
      <c r="H105" s="80"/>
      <c r="I105" s="78"/>
      <c r="J105" s="78"/>
      <c r="K105" s="226"/>
      <c r="L105" s="180"/>
      <c r="M105" s="78"/>
      <c r="N105" s="78"/>
      <c r="O105" s="189"/>
      <c r="P105" s="80"/>
      <c r="Q105" s="78"/>
      <c r="R105" s="180"/>
      <c r="S105" s="78"/>
      <c r="T105" s="180"/>
      <c r="U105" s="272">
        <v>8.1</v>
      </c>
      <c r="V105" s="70"/>
      <c r="W105" s="71"/>
      <c r="X105" s="71"/>
      <c r="Y105" s="72"/>
      <c r="Z105" s="69"/>
      <c r="AA105" s="73"/>
      <c r="AB105" s="73"/>
      <c r="AC105" s="9"/>
    </row>
    <row r="106" spans="1:29" ht="12.75">
      <c r="A106" s="186">
        <v>97</v>
      </c>
      <c r="B106" s="189" t="s">
        <v>112</v>
      </c>
      <c r="C106" s="305">
        <f>IF(MIN(D106:U106)=0,"  No Criteria",MIN(D106:U106))</f>
        <v>1.4</v>
      </c>
      <c r="D106" s="80"/>
      <c r="E106" s="189"/>
      <c r="F106" s="274"/>
      <c r="G106" s="274"/>
      <c r="H106" s="80"/>
      <c r="I106" s="78"/>
      <c r="J106" s="78"/>
      <c r="K106" s="226"/>
      <c r="L106" s="180"/>
      <c r="M106" s="78"/>
      <c r="N106" s="78"/>
      <c r="O106" s="189"/>
      <c r="P106" s="80"/>
      <c r="Q106" s="78"/>
      <c r="R106" s="180"/>
      <c r="S106" s="78"/>
      <c r="T106" s="180"/>
      <c r="U106" s="272">
        <v>1.4</v>
      </c>
      <c r="V106" s="70"/>
      <c r="W106" s="71"/>
      <c r="X106" s="71"/>
      <c r="Y106" s="72"/>
      <c r="Z106" s="69"/>
      <c r="AA106" s="73"/>
      <c r="AB106" s="73"/>
      <c r="AC106" s="9"/>
    </row>
    <row r="107" spans="1:29" ht="12.75">
      <c r="A107" s="186">
        <v>98</v>
      </c>
      <c r="B107" s="189" t="s">
        <v>113</v>
      </c>
      <c r="C107" s="308">
        <f>IF(MIN(D107:U107)=0,"  No Criteria",MIN(D107:U107))</f>
        <v>16</v>
      </c>
      <c r="D107" s="80"/>
      <c r="E107" s="189"/>
      <c r="F107" s="274"/>
      <c r="G107" s="274"/>
      <c r="H107" s="80"/>
      <c r="I107" s="78"/>
      <c r="J107" s="78"/>
      <c r="K107" s="226"/>
      <c r="L107" s="180"/>
      <c r="M107" s="78"/>
      <c r="N107" s="78"/>
      <c r="O107" s="189"/>
      <c r="P107" s="80"/>
      <c r="Q107" s="78"/>
      <c r="R107" s="180"/>
      <c r="S107" s="78"/>
      <c r="T107" s="180"/>
      <c r="U107" s="270">
        <v>16</v>
      </c>
      <c r="V107" s="70"/>
      <c r="W107" s="71"/>
      <c r="X107" s="71"/>
      <c r="Y107" s="72"/>
      <c r="Z107" s="69"/>
      <c r="AA107" s="73"/>
      <c r="AB107" s="73"/>
      <c r="AC107" s="9"/>
    </row>
    <row r="108" spans="1:29" ht="12.75">
      <c r="A108" s="186">
        <v>99</v>
      </c>
      <c r="B108" s="189" t="s">
        <v>114</v>
      </c>
      <c r="C108" s="310" t="str">
        <f>IF(MIN(D108:U108)=0,"No Criteria",MIN(D108:U108))</f>
        <v>No Criteria</v>
      </c>
      <c r="D108" s="80"/>
      <c r="E108" s="189"/>
      <c r="F108" s="274"/>
      <c r="G108" s="274"/>
      <c r="H108" s="80"/>
      <c r="I108" s="78"/>
      <c r="J108" s="78"/>
      <c r="K108" s="226"/>
      <c r="L108" s="180"/>
      <c r="M108" s="78"/>
      <c r="N108" s="78"/>
      <c r="O108" s="189"/>
      <c r="P108" s="80"/>
      <c r="Q108" s="78"/>
      <c r="R108" s="180"/>
      <c r="S108" s="78"/>
      <c r="T108" s="180"/>
      <c r="U108" s="270"/>
      <c r="V108" s="70"/>
      <c r="W108" s="71"/>
      <c r="X108" s="71"/>
      <c r="Y108" s="72"/>
      <c r="Z108" s="69"/>
      <c r="AA108" s="73"/>
      <c r="AB108" s="73"/>
      <c r="AC108" s="9"/>
    </row>
    <row r="109" spans="1:29" ht="12.75">
      <c r="A109" s="186">
        <v>100</v>
      </c>
      <c r="B109" s="189" t="s">
        <v>115</v>
      </c>
      <c r="C109" s="311">
        <f>IF(MIN(D109:U109)=0,"  No Criteria",MIN(D109:U109))</f>
        <v>11000</v>
      </c>
      <c r="D109" s="80"/>
      <c r="E109" s="189"/>
      <c r="F109" s="274"/>
      <c r="G109" s="274"/>
      <c r="H109" s="80"/>
      <c r="I109" s="78"/>
      <c r="J109" s="78"/>
      <c r="K109" s="226"/>
      <c r="L109" s="180"/>
      <c r="M109" s="78"/>
      <c r="N109" s="78"/>
      <c r="O109" s="189"/>
      <c r="P109" s="80"/>
      <c r="Q109" s="78"/>
      <c r="R109" s="180"/>
      <c r="S109" s="78"/>
      <c r="T109" s="180"/>
      <c r="U109" s="273">
        <v>11000</v>
      </c>
      <c r="V109" s="70"/>
      <c r="W109" s="71"/>
      <c r="X109" s="71"/>
      <c r="Y109" s="72"/>
      <c r="Z109" s="69"/>
      <c r="AA109" s="73"/>
      <c r="AB109" s="73"/>
      <c r="AC109" s="9"/>
    </row>
    <row r="110" spans="1:29" ht="12.75">
      <c r="A110" s="186">
        <v>101</v>
      </c>
      <c r="B110" s="189" t="s">
        <v>116</v>
      </c>
      <c r="C110" s="310" t="str">
        <f>IF(MIN(D110:U110)=0,"No Criteria",MIN(D110:U110))</f>
        <v>No Criteria</v>
      </c>
      <c r="D110" s="80"/>
      <c r="E110" s="189"/>
      <c r="F110" s="274"/>
      <c r="G110" s="274"/>
      <c r="H110" s="80"/>
      <c r="I110" s="78"/>
      <c r="J110" s="78"/>
      <c r="K110" s="226"/>
      <c r="L110" s="180"/>
      <c r="M110" s="78"/>
      <c r="N110" s="78"/>
      <c r="O110" s="189"/>
      <c r="P110" s="80"/>
      <c r="Q110" s="78"/>
      <c r="R110" s="180"/>
      <c r="S110" s="78"/>
      <c r="T110" s="180"/>
      <c r="U110" s="274"/>
      <c r="V110" s="70"/>
      <c r="W110" s="71"/>
      <c r="X110" s="71"/>
      <c r="Y110" s="72"/>
      <c r="Z110" s="69"/>
      <c r="AA110" s="73"/>
      <c r="AB110" s="73"/>
      <c r="AC110" s="9"/>
    </row>
    <row r="111" spans="1:29" ht="12.75">
      <c r="A111" s="186">
        <v>102</v>
      </c>
      <c r="B111" s="189" t="s">
        <v>117</v>
      </c>
      <c r="C111" s="312">
        <f>IF(MIN(D111:U111)=0,"  No Criteria",MIN(D111:U111))</f>
        <v>0.00014</v>
      </c>
      <c r="D111" s="80"/>
      <c r="E111" s="189"/>
      <c r="F111" s="274"/>
      <c r="G111" s="274"/>
      <c r="H111" s="80"/>
      <c r="I111" s="78"/>
      <c r="J111" s="78"/>
      <c r="K111" s="226"/>
      <c r="L111" s="180"/>
      <c r="M111" s="78"/>
      <c r="N111" s="78"/>
      <c r="O111" s="189"/>
      <c r="P111" s="218">
        <v>3</v>
      </c>
      <c r="Q111" s="78"/>
      <c r="R111" s="242">
        <v>1.3</v>
      </c>
      <c r="S111" s="78"/>
      <c r="T111" s="180"/>
      <c r="U111" s="275">
        <v>0.00014</v>
      </c>
      <c r="V111" s="70"/>
      <c r="W111" s="71"/>
      <c r="X111" s="71"/>
      <c r="Y111" s="72"/>
      <c r="Z111" s="69"/>
      <c r="AA111" s="73"/>
      <c r="AB111" s="73"/>
      <c r="AC111" s="9"/>
    </row>
    <row r="112" spans="1:29" ht="12.75">
      <c r="A112" s="186">
        <v>103</v>
      </c>
      <c r="B112" s="189" t="s">
        <v>118</v>
      </c>
      <c r="C112" s="313">
        <f>IF(MIN(D112:U112)=0,"  No Criteria",MIN(D112:U112))</f>
        <v>0.013</v>
      </c>
      <c r="D112" s="80"/>
      <c r="E112" s="189"/>
      <c r="F112" s="274"/>
      <c r="G112" s="274"/>
      <c r="H112" s="80"/>
      <c r="I112" s="78"/>
      <c r="J112" s="78"/>
      <c r="K112" s="226"/>
      <c r="L112" s="180"/>
      <c r="M112" s="78"/>
      <c r="N112" s="78"/>
      <c r="O112" s="189"/>
      <c r="P112" s="80"/>
      <c r="Q112" s="78"/>
      <c r="R112" s="180"/>
      <c r="S112" s="78"/>
      <c r="T112" s="180"/>
      <c r="U112" s="276">
        <v>0.013</v>
      </c>
      <c r="V112" s="70"/>
      <c r="W112" s="71"/>
      <c r="X112" s="71"/>
      <c r="Y112" s="72"/>
      <c r="Z112" s="69"/>
      <c r="AA112" s="73"/>
      <c r="AB112" s="73"/>
      <c r="AC112" s="9"/>
    </row>
    <row r="113" spans="1:29" ht="12.75">
      <c r="A113" s="186">
        <v>104</v>
      </c>
      <c r="B113" s="189" t="s">
        <v>119</v>
      </c>
      <c r="C113" s="313">
        <f>IF(MIN(D113:U113)=0,"  No Criteria",MIN(D113:U113))</f>
        <v>0.046</v>
      </c>
      <c r="D113" s="80"/>
      <c r="E113" s="189"/>
      <c r="F113" s="274"/>
      <c r="G113" s="274"/>
      <c r="H113" s="80"/>
      <c r="I113" s="78"/>
      <c r="J113" s="78"/>
      <c r="K113" s="226"/>
      <c r="L113" s="180"/>
      <c r="M113" s="78"/>
      <c r="N113" s="78"/>
      <c r="O113" s="189"/>
      <c r="P113" s="80"/>
      <c r="Q113" s="78"/>
      <c r="R113" s="180"/>
      <c r="S113" s="78"/>
      <c r="T113" s="180"/>
      <c r="U113" s="276">
        <v>0.046</v>
      </c>
      <c r="V113" s="70"/>
      <c r="W113" s="71"/>
      <c r="X113" s="71"/>
      <c r="Y113" s="72"/>
      <c r="Z113" s="69"/>
      <c r="AA113" s="73"/>
      <c r="AB113" s="73"/>
      <c r="AC113" s="9"/>
    </row>
    <row r="114" spans="1:29" ht="12.75">
      <c r="A114" s="186">
        <v>105</v>
      </c>
      <c r="B114" s="189" t="s">
        <v>120</v>
      </c>
      <c r="C114" s="313">
        <f>IF(MIN(D114:U114)=0,"  No Criteria",MIN(D114:U114))</f>
        <v>0.063</v>
      </c>
      <c r="D114" s="80"/>
      <c r="E114" s="189"/>
      <c r="F114" s="274"/>
      <c r="G114" s="274"/>
      <c r="H114" s="80"/>
      <c r="I114" s="78"/>
      <c r="J114" s="78"/>
      <c r="K114" s="226"/>
      <c r="L114" s="180"/>
      <c r="M114" s="78"/>
      <c r="N114" s="78"/>
      <c r="O114" s="189"/>
      <c r="P114" s="259">
        <v>0.95</v>
      </c>
      <c r="Q114" s="260"/>
      <c r="R114" s="181">
        <v>0.16</v>
      </c>
      <c r="S114" s="78"/>
      <c r="T114" s="180"/>
      <c r="U114" s="276">
        <v>0.063</v>
      </c>
      <c r="V114" s="70"/>
      <c r="W114" s="71"/>
      <c r="X114" s="71"/>
      <c r="Y114" s="72"/>
      <c r="Z114" s="69"/>
      <c r="AA114" s="73"/>
      <c r="AB114" s="73"/>
      <c r="AC114" s="9"/>
    </row>
    <row r="115" spans="1:29" ht="12.75">
      <c r="A115" s="186">
        <v>106</v>
      </c>
      <c r="B115" s="189" t="s">
        <v>121</v>
      </c>
      <c r="C115" s="310" t="str">
        <f>IF(MIN(D115:U115)=0,"No Criteria",MIN(D115:U115))</f>
        <v>No Criteria</v>
      </c>
      <c r="D115" s="80"/>
      <c r="E115" s="189"/>
      <c r="F115" s="274"/>
      <c r="G115" s="274"/>
      <c r="H115" s="80"/>
      <c r="I115" s="78"/>
      <c r="J115" s="78"/>
      <c r="K115" s="226"/>
      <c r="L115" s="180"/>
      <c r="M115" s="78"/>
      <c r="N115" s="78"/>
      <c r="O115" s="189"/>
      <c r="P115" s="80"/>
      <c r="Q115" s="78"/>
      <c r="R115" s="180"/>
      <c r="S115" s="78"/>
      <c r="T115" s="180"/>
      <c r="U115" s="274"/>
      <c r="V115" s="70"/>
      <c r="W115" s="71"/>
      <c r="X115" s="71"/>
      <c r="Y115" s="72"/>
      <c r="Z115" s="69"/>
      <c r="AA115" s="73"/>
      <c r="AB115" s="73"/>
      <c r="AC115" s="9"/>
    </row>
    <row r="116" spans="1:29" ht="12.75">
      <c r="A116" s="186">
        <v>107</v>
      </c>
      <c r="B116" s="189" t="s">
        <v>222</v>
      </c>
      <c r="C116" s="312">
        <f aca="true" t="shared" si="5" ref="C116:C129">IF(MIN(D116:U116)=0,"  No Criteria",MIN(D116:U116))</f>
        <v>0.00059</v>
      </c>
      <c r="D116" s="201"/>
      <c r="E116" s="189"/>
      <c r="F116" s="274"/>
      <c r="G116" s="274"/>
      <c r="H116" s="80"/>
      <c r="I116" s="78"/>
      <c r="J116" s="78"/>
      <c r="K116" s="226"/>
      <c r="L116" s="180"/>
      <c r="M116" s="78"/>
      <c r="N116" s="78"/>
      <c r="O116" s="189"/>
      <c r="P116" s="217">
        <v>2.4</v>
      </c>
      <c r="Q116" s="78">
        <v>0.0043</v>
      </c>
      <c r="R116" s="181">
        <v>0.09</v>
      </c>
      <c r="S116" s="30">
        <v>0.004</v>
      </c>
      <c r="T116" s="182"/>
      <c r="U116" s="275">
        <v>0.00059</v>
      </c>
      <c r="V116" s="70"/>
      <c r="W116" s="71"/>
      <c r="X116" s="71"/>
      <c r="Y116" s="72"/>
      <c r="Z116" s="69"/>
      <c r="AA116" s="73"/>
      <c r="AB116" s="73"/>
      <c r="AC116" s="9"/>
    </row>
    <row r="117" spans="1:29" ht="12.75">
      <c r="A117" s="186">
        <v>108</v>
      </c>
      <c r="B117" s="189" t="s">
        <v>223</v>
      </c>
      <c r="C117" s="312">
        <f t="shared" si="5"/>
        <v>0.00059</v>
      </c>
      <c r="D117" s="201"/>
      <c r="E117" s="189"/>
      <c r="F117" s="274"/>
      <c r="G117" s="274"/>
      <c r="H117" s="80"/>
      <c r="I117" s="78"/>
      <c r="J117" s="78"/>
      <c r="K117" s="226"/>
      <c r="L117" s="180"/>
      <c r="M117" s="78"/>
      <c r="N117" s="78"/>
      <c r="O117" s="189"/>
      <c r="P117" s="217">
        <v>1.1</v>
      </c>
      <c r="Q117" s="30">
        <v>0.001</v>
      </c>
      <c r="R117" s="181">
        <v>0.13</v>
      </c>
      <c r="S117" s="30">
        <v>0.001</v>
      </c>
      <c r="T117" s="182"/>
      <c r="U117" s="275">
        <v>0.00059</v>
      </c>
      <c r="V117" s="70"/>
      <c r="W117" s="71"/>
      <c r="X117" s="71"/>
      <c r="Y117" s="72"/>
      <c r="Z117" s="69"/>
      <c r="AA117" s="73"/>
      <c r="AB117" s="73"/>
      <c r="AC117" s="9"/>
    </row>
    <row r="118" spans="1:29" ht="12.75">
      <c r="A118" s="186">
        <v>109</v>
      </c>
      <c r="B118" s="189" t="s">
        <v>224</v>
      </c>
      <c r="C118" s="312">
        <f t="shared" si="5"/>
        <v>0.00059</v>
      </c>
      <c r="D118" s="80"/>
      <c r="E118" s="189"/>
      <c r="F118" s="274"/>
      <c r="G118" s="274"/>
      <c r="H118" s="80"/>
      <c r="I118" s="78"/>
      <c r="J118" s="78"/>
      <c r="K118" s="226"/>
      <c r="L118" s="180"/>
      <c r="M118" s="78"/>
      <c r="N118" s="78"/>
      <c r="O118" s="189"/>
      <c r="P118" s="80"/>
      <c r="Q118" s="78"/>
      <c r="R118" s="180"/>
      <c r="S118" s="78"/>
      <c r="T118" s="182"/>
      <c r="U118" s="275">
        <v>0.00059</v>
      </c>
      <c r="V118" s="70"/>
      <c r="W118" s="71"/>
      <c r="X118" s="71"/>
      <c r="Y118" s="72"/>
      <c r="Z118" s="69"/>
      <c r="AA118" s="73"/>
      <c r="AB118" s="73"/>
      <c r="AC118" s="9"/>
    </row>
    <row r="119" spans="1:29" ht="12.75">
      <c r="A119" s="186">
        <v>110</v>
      </c>
      <c r="B119" s="189" t="s">
        <v>225</v>
      </c>
      <c r="C119" s="312">
        <f t="shared" si="5"/>
        <v>0.00084</v>
      </c>
      <c r="D119" s="80"/>
      <c r="E119" s="189"/>
      <c r="F119" s="274"/>
      <c r="G119" s="274"/>
      <c r="H119" s="80"/>
      <c r="I119" s="78"/>
      <c r="J119" s="78"/>
      <c r="K119" s="226"/>
      <c r="L119" s="180"/>
      <c r="M119" s="78"/>
      <c r="N119" s="78"/>
      <c r="O119" s="189"/>
      <c r="P119" s="80"/>
      <c r="Q119" s="78"/>
      <c r="R119" s="180"/>
      <c r="S119" s="78"/>
      <c r="T119" s="182"/>
      <c r="U119" s="275">
        <v>0.00084</v>
      </c>
      <c r="V119" s="70"/>
      <c r="W119" s="71"/>
      <c r="X119" s="71"/>
      <c r="Y119" s="72"/>
      <c r="Z119" s="69"/>
      <c r="AA119" s="73"/>
      <c r="AB119" s="73"/>
      <c r="AC119" s="9"/>
    </row>
    <row r="120" spans="1:29" ht="12.75">
      <c r="A120" s="186">
        <v>111</v>
      </c>
      <c r="B120" s="189" t="s">
        <v>226</v>
      </c>
      <c r="C120" s="312">
        <f t="shared" si="5"/>
        <v>0.00014</v>
      </c>
      <c r="D120" s="201"/>
      <c r="E120" s="189"/>
      <c r="F120" s="274"/>
      <c r="G120" s="274"/>
      <c r="H120" s="80"/>
      <c r="I120" s="78"/>
      <c r="J120" s="78"/>
      <c r="K120" s="226"/>
      <c r="L120" s="180"/>
      <c r="M120" s="78"/>
      <c r="N120" s="78"/>
      <c r="O120" s="189"/>
      <c r="P120" s="259">
        <v>0.24</v>
      </c>
      <c r="Q120" s="30">
        <v>0.056</v>
      </c>
      <c r="R120" s="181">
        <v>0.71</v>
      </c>
      <c r="S120" s="78">
        <v>0.0019</v>
      </c>
      <c r="T120" s="182"/>
      <c r="U120" s="275">
        <v>0.00014</v>
      </c>
      <c r="V120" s="70"/>
      <c r="W120" s="71"/>
      <c r="X120" s="71"/>
      <c r="Y120" s="72"/>
      <c r="Z120" s="69"/>
      <c r="AA120" s="73"/>
      <c r="AB120" s="73"/>
      <c r="AC120" s="9"/>
    </row>
    <row r="121" spans="1:29" ht="12.75">
      <c r="A121" s="186">
        <v>112</v>
      </c>
      <c r="B121" s="189" t="s">
        <v>127</v>
      </c>
      <c r="C121" s="314">
        <f t="shared" si="5"/>
        <v>0.0087</v>
      </c>
      <c r="D121" s="80"/>
      <c r="E121" s="189"/>
      <c r="F121" s="274"/>
      <c r="G121" s="274"/>
      <c r="H121" s="80"/>
      <c r="I121" s="78"/>
      <c r="J121" s="78"/>
      <c r="K121" s="226"/>
      <c r="L121" s="180"/>
      <c r="M121" s="78"/>
      <c r="N121" s="78"/>
      <c r="O121" s="189"/>
      <c r="P121" s="259">
        <v>0.22</v>
      </c>
      <c r="Q121" s="30">
        <v>0.056</v>
      </c>
      <c r="R121" s="251">
        <v>0.034</v>
      </c>
      <c r="S121" s="78">
        <v>0.0087</v>
      </c>
      <c r="T121" s="180"/>
      <c r="U121" s="270">
        <v>240</v>
      </c>
      <c r="V121" s="70"/>
      <c r="W121" s="71"/>
      <c r="X121" s="71"/>
      <c r="Y121" s="72"/>
      <c r="Z121" s="69"/>
      <c r="AA121" s="73"/>
      <c r="AB121" s="73"/>
      <c r="AC121" s="9"/>
    </row>
    <row r="122" spans="1:29" ht="12.75">
      <c r="A122" s="186">
        <v>113</v>
      </c>
      <c r="B122" s="189" t="s">
        <v>227</v>
      </c>
      <c r="C122" s="314">
        <f t="shared" si="5"/>
        <v>0.0087</v>
      </c>
      <c r="D122" s="80"/>
      <c r="E122" s="189"/>
      <c r="F122" s="274"/>
      <c r="G122" s="274"/>
      <c r="H122" s="80"/>
      <c r="I122" s="78"/>
      <c r="J122" s="78"/>
      <c r="K122" s="226"/>
      <c r="L122" s="180"/>
      <c r="M122" s="78"/>
      <c r="N122" s="78"/>
      <c r="O122" s="189"/>
      <c r="P122" s="259">
        <v>0.22</v>
      </c>
      <c r="Q122" s="30">
        <v>0.056</v>
      </c>
      <c r="R122" s="251">
        <v>0.034</v>
      </c>
      <c r="S122" s="78">
        <v>0.0087</v>
      </c>
      <c r="T122" s="180"/>
      <c r="U122" s="270">
        <v>240</v>
      </c>
      <c r="V122" s="70"/>
      <c r="W122" s="71"/>
      <c r="X122" s="71"/>
      <c r="Y122" s="72"/>
      <c r="Z122" s="69"/>
      <c r="AA122" s="73"/>
      <c r="AB122" s="73"/>
      <c r="AC122" s="9"/>
    </row>
    <row r="123" spans="1:29" ht="12.75">
      <c r="A123" s="186">
        <v>114</v>
      </c>
      <c r="B123" s="189" t="s">
        <v>129</v>
      </c>
      <c r="C123" s="308">
        <f t="shared" si="5"/>
        <v>240</v>
      </c>
      <c r="D123" s="80"/>
      <c r="E123" s="189"/>
      <c r="F123" s="274"/>
      <c r="G123" s="274"/>
      <c r="H123" s="80"/>
      <c r="I123" s="78"/>
      <c r="J123" s="78"/>
      <c r="K123" s="226"/>
      <c r="L123" s="180"/>
      <c r="M123" s="78"/>
      <c r="N123" s="78"/>
      <c r="O123" s="189"/>
      <c r="P123" s="80"/>
      <c r="Q123" s="78"/>
      <c r="R123" s="180"/>
      <c r="S123" s="78"/>
      <c r="T123" s="180"/>
      <c r="U123" s="270">
        <v>240</v>
      </c>
      <c r="V123" s="70"/>
      <c r="W123" s="71"/>
      <c r="X123" s="71"/>
      <c r="Y123" s="72"/>
      <c r="Z123" s="69"/>
      <c r="AA123" s="73"/>
      <c r="AB123" s="73"/>
      <c r="AC123" s="9"/>
    </row>
    <row r="124" spans="1:29" ht="12.75">
      <c r="A124" s="186">
        <v>115</v>
      </c>
      <c r="B124" s="189" t="s">
        <v>130</v>
      </c>
      <c r="C124" s="314">
        <f t="shared" si="5"/>
        <v>0.0023</v>
      </c>
      <c r="D124" s="80"/>
      <c r="E124" s="189"/>
      <c r="F124" s="274"/>
      <c r="G124" s="274"/>
      <c r="H124" s="80"/>
      <c r="I124" s="78"/>
      <c r="J124" s="78"/>
      <c r="K124" s="226"/>
      <c r="L124" s="180"/>
      <c r="M124" s="78"/>
      <c r="N124" s="78"/>
      <c r="O124" s="189"/>
      <c r="P124" s="77">
        <v>0.086</v>
      </c>
      <c r="Q124" s="30">
        <v>0.036</v>
      </c>
      <c r="R124" s="251">
        <v>0.037</v>
      </c>
      <c r="S124" s="78">
        <v>0.0023</v>
      </c>
      <c r="T124" s="180"/>
      <c r="U124" s="271">
        <v>0.81</v>
      </c>
      <c r="V124" s="70"/>
      <c r="W124" s="71"/>
      <c r="X124" s="71"/>
      <c r="Y124" s="72"/>
      <c r="Z124" s="69"/>
      <c r="AA124" s="73"/>
      <c r="AB124" s="73"/>
      <c r="AC124" s="9"/>
    </row>
    <row r="125" spans="1:29" ht="12.75">
      <c r="A125" s="186">
        <v>116</v>
      </c>
      <c r="B125" s="189" t="s">
        <v>131</v>
      </c>
      <c r="C125" s="305">
        <f t="shared" si="5"/>
        <v>0.81</v>
      </c>
      <c r="D125" s="80"/>
      <c r="E125" s="189"/>
      <c r="F125" s="274"/>
      <c r="G125" s="274"/>
      <c r="H125" s="80"/>
      <c r="I125" s="78"/>
      <c r="J125" s="78"/>
      <c r="K125" s="226"/>
      <c r="L125" s="180"/>
      <c r="M125" s="78"/>
      <c r="N125" s="78"/>
      <c r="O125" s="189"/>
      <c r="P125" s="80"/>
      <c r="Q125" s="78"/>
      <c r="R125" s="180"/>
      <c r="S125" s="78"/>
      <c r="T125" s="180"/>
      <c r="U125" s="271">
        <v>0.81</v>
      </c>
      <c r="V125" s="70"/>
      <c r="W125" s="71"/>
      <c r="X125" s="71"/>
      <c r="Y125" s="72"/>
      <c r="Z125" s="69"/>
      <c r="AA125" s="73"/>
      <c r="AB125" s="73"/>
      <c r="AC125" s="9"/>
    </row>
    <row r="126" spans="1:29" ht="12.75">
      <c r="A126" s="186">
        <v>117</v>
      </c>
      <c r="B126" s="189" t="s">
        <v>132</v>
      </c>
      <c r="C126" s="312">
        <f t="shared" si="5"/>
        <v>0.00021</v>
      </c>
      <c r="D126" s="80"/>
      <c r="E126" s="189"/>
      <c r="F126" s="274"/>
      <c r="G126" s="274"/>
      <c r="H126" s="80"/>
      <c r="I126" s="78"/>
      <c r="J126" s="78"/>
      <c r="K126" s="226"/>
      <c r="L126" s="180"/>
      <c r="M126" s="78"/>
      <c r="N126" s="78"/>
      <c r="O126" s="189"/>
      <c r="P126" s="259">
        <v>0.52</v>
      </c>
      <c r="Q126" s="78">
        <v>0.0038</v>
      </c>
      <c r="R126" s="251">
        <v>0.053</v>
      </c>
      <c r="S126" s="78">
        <v>0.0036</v>
      </c>
      <c r="T126" s="180"/>
      <c r="U126" s="275">
        <v>0.00021</v>
      </c>
      <c r="V126" s="70"/>
      <c r="W126" s="71"/>
      <c r="X126" s="71"/>
      <c r="Y126" s="72"/>
      <c r="Z126" s="69"/>
      <c r="AA126" s="73"/>
      <c r="AB126" s="73"/>
      <c r="AC126" s="9"/>
    </row>
    <row r="127" spans="1:29" ht="12.75">
      <c r="A127" s="186">
        <v>118</v>
      </c>
      <c r="B127" s="189" t="s">
        <v>228</v>
      </c>
      <c r="C127" s="312">
        <f t="shared" si="5"/>
        <v>0.00011</v>
      </c>
      <c r="D127" s="80"/>
      <c r="E127" s="189"/>
      <c r="F127" s="274"/>
      <c r="G127" s="274"/>
      <c r="H127" s="80"/>
      <c r="I127" s="78"/>
      <c r="J127" s="78"/>
      <c r="K127" s="226"/>
      <c r="L127" s="180"/>
      <c r="M127" s="78"/>
      <c r="N127" s="78"/>
      <c r="O127" s="189"/>
      <c r="P127" s="259">
        <v>0.52</v>
      </c>
      <c r="Q127" s="78">
        <v>0.0038</v>
      </c>
      <c r="R127" s="251">
        <v>0.053</v>
      </c>
      <c r="S127" s="78">
        <v>0.0036</v>
      </c>
      <c r="T127" s="182"/>
      <c r="U127" s="275">
        <v>0.00011</v>
      </c>
      <c r="V127" s="70"/>
      <c r="W127" s="71"/>
      <c r="X127" s="71"/>
      <c r="Y127" s="72"/>
      <c r="Z127" s="69"/>
      <c r="AA127" s="73"/>
      <c r="AB127" s="73"/>
      <c r="AC127" s="9"/>
    </row>
    <row r="128" spans="1:29" ht="12.75">
      <c r="A128" s="186" t="s">
        <v>229</v>
      </c>
      <c r="B128" s="189" t="s">
        <v>283</v>
      </c>
      <c r="C128" s="312">
        <f t="shared" si="5"/>
        <v>0.00017</v>
      </c>
      <c r="D128" s="201"/>
      <c r="E128" s="189"/>
      <c r="F128" s="274"/>
      <c r="G128" s="274"/>
      <c r="H128" s="80"/>
      <c r="I128" s="78"/>
      <c r="J128" s="78"/>
      <c r="K128" s="226"/>
      <c r="L128" s="180"/>
      <c r="M128" s="78"/>
      <c r="N128" s="78"/>
      <c r="O128" s="189"/>
      <c r="P128" s="259"/>
      <c r="Q128" s="30">
        <v>0.014</v>
      </c>
      <c r="R128" s="180"/>
      <c r="S128" s="260">
        <v>0.03</v>
      </c>
      <c r="T128" s="182"/>
      <c r="U128" s="275">
        <v>0.00017</v>
      </c>
      <c r="V128" s="70"/>
      <c r="W128" s="71"/>
      <c r="X128" s="71"/>
      <c r="Y128" s="72"/>
      <c r="Z128" s="69"/>
      <c r="AA128" s="73"/>
      <c r="AB128" s="73"/>
      <c r="AC128" s="9"/>
    </row>
    <row r="129" spans="1:29" ht="12" customHeight="1">
      <c r="A129" s="186">
        <v>126</v>
      </c>
      <c r="B129" s="189" t="s">
        <v>134</v>
      </c>
      <c r="C129" s="312">
        <f t="shared" si="5"/>
        <v>0.0002</v>
      </c>
      <c r="D129" s="80"/>
      <c r="E129" s="189"/>
      <c r="F129" s="274"/>
      <c r="G129" s="274"/>
      <c r="H129" s="80"/>
      <c r="I129" s="78"/>
      <c r="J129" s="78"/>
      <c r="K129" s="226"/>
      <c r="L129" s="180"/>
      <c r="M129" s="78"/>
      <c r="N129" s="78"/>
      <c r="O129" s="189"/>
      <c r="P129" s="259">
        <v>0.73</v>
      </c>
      <c r="Q129" s="78">
        <v>0.0002</v>
      </c>
      <c r="R129" s="181">
        <v>0.21</v>
      </c>
      <c r="S129" s="78">
        <v>0.0002</v>
      </c>
      <c r="T129" s="180"/>
      <c r="U129" s="275">
        <v>0.00075</v>
      </c>
      <c r="V129" s="70"/>
      <c r="W129" s="71"/>
      <c r="X129" s="71"/>
      <c r="Y129" s="72"/>
      <c r="Z129" s="69"/>
      <c r="AA129" s="73"/>
      <c r="AB129" s="73"/>
      <c r="AC129" s="9"/>
    </row>
    <row r="130" spans="1:29" ht="12.75">
      <c r="A130" s="382"/>
      <c r="B130" s="189" t="s">
        <v>231</v>
      </c>
      <c r="C130" s="313">
        <f>IF(MIN(D130:U130)=0,"  No Criteria",MIN(D130:U130))</f>
        <v>0.01</v>
      </c>
      <c r="D130" s="80"/>
      <c r="E130" s="189"/>
      <c r="F130" s="274"/>
      <c r="G130" s="274"/>
      <c r="H130" s="80"/>
      <c r="I130" s="78"/>
      <c r="J130" s="78"/>
      <c r="K130" s="226"/>
      <c r="L130" s="251">
        <v>0.01</v>
      </c>
      <c r="M130" s="78"/>
      <c r="N130" s="78"/>
      <c r="O130" s="189"/>
      <c r="P130" s="80"/>
      <c r="Q130" s="78"/>
      <c r="R130" s="180"/>
      <c r="S130" s="78"/>
      <c r="T130" s="274"/>
      <c r="U130" s="274"/>
      <c r="V130" s="70"/>
      <c r="W130" s="71"/>
      <c r="X130" s="71"/>
      <c r="Y130" s="72"/>
      <c r="Z130" s="69"/>
      <c r="AA130" s="73"/>
      <c r="AB130" s="73"/>
      <c r="AC130" s="9"/>
    </row>
    <row r="131" spans="1:29" ht="13.5" thickBot="1">
      <c r="A131" s="372"/>
      <c r="B131" s="373" t="s">
        <v>295</v>
      </c>
      <c r="C131" s="315">
        <f>IF(MIN(D131:U131)=0,"  No Criteria",MIN(D131:U131))</f>
        <v>15</v>
      </c>
      <c r="D131" s="207"/>
      <c r="E131" s="207"/>
      <c r="F131" s="88"/>
      <c r="G131" s="88"/>
      <c r="H131" s="374"/>
      <c r="I131" s="368"/>
      <c r="J131" s="368"/>
      <c r="K131" s="375"/>
      <c r="L131" s="367"/>
      <c r="M131" s="368"/>
      <c r="N131" s="368">
        <v>15</v>
      </c>
      <c r="O131" s="373"/>
      <c r="P131" s="374"/>
      <c r="Q131" s="368"/>
      <c r="R131" s="370"/>
      <c r="S131" s="368"/>
      <c r="T131" s="88"/>
      <c r="U131" s="88"/>
      <c r="V131" s="376"/>
      <c r="W131" s="377"/>
      <c r="X131" s="377"/>
      <c r="Y131" s="378"/>
      <c r="Z131" s="379"/>
      <c r="AA131" s="380"/>
      <c r="AB131" s="380"/>
      <c r="AC131" s="381"/>
    </row>
    <row r="132" spans="1:21" ht="13.5" thickBot="1">
      <c r="A132" s="89"/>
      <c r="B132" s="90"/>
      <c r="C132" s="371"/>
      <c r="D132" s="370"/>
      <c r="E132" s="368">
        <v>15</v>
      </c>
      <c r="F132" s="91"/>
      <c r="G132" s="91"/>
      <c r="H132" s="91"/>
      <c r="I132" s="91"/>
      <c r="J132" s="91"/>
      <c r="K132" s="91"/>
      <c r="L132" s="91"/>
      <c r="M132" s="91"/>
      <c r="N132" s="91"/>
      <c r="O132" s="91"/>
      <c r="P132" s="91"/>
      <c r="Q132" s="91"/>
      <c r="R132" s="91"/>
      <c r="S132" s="91"/>
      <c r="T132" s="91"/>
      <c r="U132" s="91"/>
    </row>
    <row r="133" spans="1:21" ht="12.75">
      <c r="A133" s="87" t="s">
        <v>232</v>
      </c>
      <c r="B133" s="91"/>
      <c r="C133" s="96"/>
      <c r="D133" s="91"/>
      <c r="E133" s="91"/>
      <c r="F133" s="91"/>
      <c r="G133" s="91"/>
      <c r="H133" s="91"/>
      <c r="I133" s="91"/>
      <c r="J133" s="91"/>
      <c r="K133" s="91"/>
      <c r="L133" s="91"/>
      <c r="M133" s="12"/>
      <c r="N133" s="12"/>
      <c r="O133" s="12"/>
      <c r="P133" s="12"/>
      <c r="Q133" s="12"/>
      <c r="R133" s="12"/>
      <c r="S133" s="12"/>
      <c r="T133" s="12"/>
      <c r="U133" s="12"/>
    </row>
    <row r="134" spans="1:21" ht="12.75">
      <c r="A134" s="92" t="s">
        <v>233</v>
      </c>
      <c r="B134" s="81" t="s">
        <v>340</v>
      </c>
      <c r="C134" s="82"/>
      <c r="D134" s="62"/>
      <c r="E134" s="91"/>
      <c r="F134" s="91"/>
      <c r="G134" s="91"/>
      <c r="H134" s="91"/>
      <c r="I134" s="91"/>
      <c r="J134" s="91"/>
      <c r="K134" s="91"/>
      <c r="L134" s="91"/>
      <c r="M134" s="12"/>
      <c r="N134" s="12"/>
      <c r="O134" s="12"/>
      <c r="P134" s="12"/>
      <c r="Q134" s="12"/>
      <c r="R134" s="12"/>
      <c r="S134" s="12"/>
      <c r="T134" s="12"/>
      <c r="U134" s="12"/>
    </row>
    <row r="135" spans="1:21" ht="12.75">
      <c r="A135" s="93" t="s">
        <v>234</v>
      </c>
      <c r="B135" s="62" t="s">
        <v>235</v>
      </c>
      <c r="C135" s="82"/>
      <c r="D135" s="62"/>
      <c r="E135" s="94"/>
      <c r="F135" s="94"/>
      <c r="G135" s="94"/>
      <c r="H135" s="94"/>
      <c r="I135" s="91"/>
      <c r="J135" s="91"/>
      <c r="K135" s="91"/>
      <c r="L135" s="91"/>
      <c r="M135" s="12"/>
      <c r="N135" s="12"/>
      <c r="O135" s="12"/>
      <c r="P135" s="12"/>
      <c r="Q135" s="12"/>
      <c r="R135" s="12"/>
      <c r="S135" s="12"/>
      <c r="T135" s="12"/>
      <c r="U135" s="12"/>
    </row>
    <row r="136" ht="12.75">
      <c r="C136" s="97"/>
    </row>
    <row r="137" spans="2:4" ht="12.75">
      <c r="B137" s="95"/>
      <c r="C137" s="98"/>
      <c r="D137" s="95"/>
    </row>
    <row r="138" ht="12.75">
      <c r="C138" s="97"/>
    </row>
    <row r="139" ht="12.75">
      <c r="C139" s="97"/>
    </row>
    <row r="140" ht="12.75">
      <c r="C140" s="97"/>
    </row>
    <row r="141" ht="12.75">
      <c r="C141" s="97"/>
    </row>
    <row r="142" ht="12.75">
      <c r="C142" s="97"/>
    </row>
    <row r="143" ht="12.75">
      <c r="C143" s="97"/>
    </row>
    <row r="144" ht="12.75">
      <c r="C144" s="97"/>
    </row>
    <row r="145" ht="12.75">
      <c r="C145" s="97"/>
    </row>
    <row r="146" ht="12.75">
      <c r="C146" s="97"/>
    </row>
    <row r="147" ht="12.75">
      <c r="C147" s="97"/>
    </row>
    <row r="148" ht="12.75">
      <c r="C148" s="97"/>
    </row>
    <row r="149" ht="12.75">
      <c r="C149" s="97"/>
    </row>
    <row r="150" ht="12.75">
      <c r="C150" s="97"/>
    </row>
    <row r="151" ht="12.75">
      <c r="C151" s="97"/>
    </row>
    <row r="152" ht="12.75">
      <c r="C152" s="97"/>
    </row>
    <row r="153" ht="12.75">
      <c r="C153" s="97"/>
    </row>
    <row r="154" ht="12.75">
      <c r="C154" s="97"/>
    </row>
    <row r="155" ht="12.75">
      <c r="C155" s="97"/>
    </row>
    <row r="156" ht="12.75">
      <c r="C156" s="97"/>
    </row>
    <row r="157" ht="12.75">
      <c r="C157" s="97"/>
    </row>
    <row r="158" ht="12.75">
      <c r="C158" s="97"/>
    </row>
    <row r="159" ht="12.75">
      <c r="C159" s="97"/>
    </row>
    <row r="160" ht="12.75">
      <c r="C160" s="97"/>
    </row>
    <row r="161" ht="12.75">
      <c r="C161" s="97"/>
    </row>
    <row r="162" ht="12.75">
      <c r="C162" s="97"/>
    </row>
    <row r="163" ht="12.75">
      <c r="C163" s="97"/>
    </row>
    <row r="164" ht="12.75">
      <c r="C164" s="97"/>
    </row>
    <row r="165" ht="12.75">
      <c r="C165" s="97"/>
    </row>
    <row r="166" ht="12.75">
      <c r="C166" s="97"/>
    </row>
    <row r="167" ht="12.75">
      <c r="C167" s="97"/>
    </row>
    <row r="168" ht="12.75">
      <c r="C168" s="97"/>
    </row>
    <row r="169" ht="12.75">
      <c r="C169" s="97"/>
    </row>
    <row r="170" ht="12.75">
      <c r="C170" s="97"/>
    </row>
    <row r="171" ht="12.75">
      <c r="C171" s="97"/>
    </row>
    <row r="172" ht="12.75">
      <c r="C172" s="97"/>
    </row>
    <row r="173" ht="12.75">
      <c r="C173" s="97"/>
    </row>
    <row r="174" ht="12.75">
      <c r="C174" s="97"/>
    </row>
    <row r="175" ht="12.75">
      <c r="C175" s="97"/>
    </row>
    <row r="176" ht="12.75">
      <c r="C176" s="97"/>
    </row>
    <row r="177" ht="12.75">
      <c r="C177" s="97"/>
    </row>
    <row r="178" ht="12.75">
      <c r="C178" s="97"/>
    </row>
    <row r="179" ht="12.75">
      <c r="C179" s="97"/>
    </row>
    <row r="180" ht="12.75">
      <c r="C180" s="97"/>
    </row>
    <row r="181" ht="12.75">
      <c r="C181" s="97"/>
    </row>
    <row r="182" ht="12.75">
      <c r="C182" s="97"/>
    </row>
    <row r="183" ht="12.75">
      <c r="C183" s="97"/>
    </row>
    <row r="184" ht="12.75">
      <c r="C184" s="97"/>
    </row>
    <row r="185" ht="12.75">
      <c r="C185" s="97"/>
    </row>
    <row r="186" ht="12.75">
      <c r="C186" s="97"/>
    </row>
    <row r="187" ht="12.75">
      <c r="C187" s="97"/>
    </row>
    <row r="188" ht="12.75">
      <c r="C188" s="97"/>
    </row>
    <row r="189" ht="12.75">
      <c r="C189" s="97"/>
    </row>
    <row r="190" ht="12.75">
      <c r="C190" s="97"/>
    </row>
    <row r="191" ht="12.75">
      <c r="C191" s="97"/>
    </row>
    <row r="192" ht="12.75">
      <c r="C192" s="97"/>
    </row>
    <row r="193" ht="12.75">
      <c r="C193" s="97"/>
    </row>
    <row r="194" ht="12.75">
      <c r="C194" s="97"/>
    </row>
    <row r="195" ht="12.75">
      <c r="C195" s="97"/>
    </row>
    <row r="196" ht="12.75">
      <c r="C196" s="97"/>
    </row>
    <row r="197" ht="12.75">
      <c r="C197" s="97"/>
    </row>
    <row r="198" ht="12.75">
      <c r="C198" s="97"/>
    </row>
    <row r="199" ht="12.75">
      <c r="C199" s="97"/>
    </row>
    <row r="200" ht="12.75">
      <c r="C200" s="97"/>
    </row>
    <row r="201" ht="12.75">
      <c r="C201" s="97"/>
    </row>
    <row r="202" ht="12.75">
      <c r="C202" s="97"/>
    </row>
    <row r="203" ht="12.75">
      <c r="C203" s="97"/>
    </row>
    <row r="204" ht="12.75">
      <c r="C204" s="97"/>
    </row>
    <row r="205" ht="12.75">
      <c r="C205" s="97"/>
    </row>
    <row r="206" ht="12.75">
      <c r="C206" s="97"/>
    </row>
    <row r="207" ht="12.75">
      <c r="C207" s="97"/>
    </row>
    <row r="208" ht="12.75">
      <c r="C208" s="97"/>
    </row>
    <row r="209" ht="12.75">
      <c r="C209" s="97"/>
    </row>
    <row r="210" ht="12.75">
      <c r="C210" s="97"/>
    </row>
    <row r="211" ht="12.75">
      <c r="C211" s="97"/>
    </row>
    <row r="212" ht="12.75">
      <c r="C212" s="97"/>
    </row>
    <row r="213" ht="12.75">
      <c r="C213" s="97"/>
    </row>
    <row r="214" ht="12.75">
      <c r="C214" s="97"/>
    </row>
    <row r="215" ht="12.75">
      <c r="C215" s="97"/>
    </row>
    <row r="216" ht="12.75">
      <c r="C216" s="97"/>
    </row>
    <row r="217" ht="12.75">
      <c r="C217" s="97"/>
    </row>
    <row r="218" ht="12.75">
      <c r="C218" s="97"/>
    </row>
    <row r="219" ht="12.75">
      <c r="C219" s="97"/>
    </row>
    <row r="220" ht="12.75">
      <c r="C220" s="97"/>
    </row>
    <row r="221" ht="12.75">
      <c r="C221" s="97"/>
    </row>
    <row r="222" ht="12.75">
      <c r="C222" s="97"/>
    </row>
    <row r="223" ht="12.75">
      <c r="C223" s="97"/>
    </row>
    <row r="224" ht="12.75">
      <c r="C224" s="97"/>
    </row>
    <row r="225" ht="12.75">
      <c r="C225" s="97"/>
    </row>
    <row r="226" ht="12.75">
      <c r="C226" s="97"/>
    </row>
    <row r="227" ht="12.75">
      <c r="C227" s="97"/>
    </row>
    <row r="228" ht="12.75">
      <c r="C228" s="97"/>
    </row>
    <row r="229" ht="12.75">
      <c r="C229" s="97"/>
    </row>
    <row r="230" ht="12.75">
      <c r="C230" s="97"/>
    </row>
    <row r="231" ht="12.75">
      <c r="C231" s="97"/>
    </row>
    <row r="232" ht="12.75">
      <c r="C232" s="97"/>
    </row>
    <row r="233" ht="12.75">
      <c r="C233" s="97"/>
    </row>
    <row r="234" ht="12.75">
      <c r="C234" s="97"/>
    </row>
    <row r="235" ht="12.75">
      <c r="C235" s="97"/>
    </row>
    <row r="236" ht="12.75">
      <c r="C236" s="97"/>
    </row>
    <row r="237" ht="12.75">
      <c r="C237" s="97"/>
    </row>
    <row r="238" ht="12.75">
      <c r="C238" s="97"/>
    </row>
    <row r="239" ht="12.75">
      <c r="C239" s="97"/>
    </row>
    <row r="240" ht="12.75">
      <c r="C240" s="97"/>
    </row>
    <row r="241" ht="12.75">
      <c r="C241" s="97"/>
    </row>
    <row r="242" ht="12.75">
      <c r="C242" s="97"/>
    </row>
    <row r="243" ht="12.75">
      <c r="C243" s="97"/>
    </row>
    <row r="244" ht="12.75">
      <c r="C244" s="97"/>
    </row>
    <row r="245" ht="12.75">
      <c r="C245" s="97"/>
    </row>
    <row r="246" ht="12.75">
      <c r="C246" s="97"/>
    </row>
    <row r="247" ht="12.75">
      <c r="C247" s="97"/>
    </row>
    <row r="248" ht="12.75">
      <c r="C248" s="97"/>
    </row>
    <row r="249" ht="12.75">
      <c r="C249" s="97"/>
    </row>
    <row r="250" ht="12.75">
      <c r="C250" s="97"/>
    </row>
    <row r="251" ht="12.75">
      <c r="C251" s="97"/>
    </row>
    <row r="252" ht="12.75">
      <c r="C252" s="97"/>
    </row>
    <row r="253" ht="12.75">
      <c r="C253" s="97"/>
    </row>
    <row r="254" ht="12.75">
      <c r="C254" s="97"/>
    </row>
    <row r="255" ht="12.75">
      <c r="C255" s="97"/>
    </row>
    <row r="256" ht="12.75">
      <c r="C256" s="97"/>
    </row>
    <row r="257" ht="12.75">
      <c r="C257" s="97"/>
    </row>
    <row r="258" ht="12.75">
      <c r="C258" s="97"/>
    </row>
    <row r="259" ht="12.75">
      <c r="C259" s="97"/>
    </row>
    <row r="260" ht="12.75">
      <c r="C260" s="97"/>
    </row>
    <row r="261" ht="12.75">
      <c r="C261" s="97"/>
    </row>
    <row r="262" ht="12.75">
      <c r="C262" s="97"/>
    </row>
    <row r="263" ht="12.75">
      <c r="C263" s="97"/>
    </row>
    <row r="264" ht="12.75">
      <c r="C264" s="97"/>
    </row>
    <row r="265" ht="12.75">
      <c r="C265" s="97"/>
    </row>
    <row r="266" ht="12.75">
      <c r="C266" s="97"/>
    </row>
    <row r="267" ht="12.75">
      <c r="C267" s="97"/>
    </row>
    <row r="268" ht="12.75">
      <c r="C268" s="97"/>
    </row>
    <row r="269" ht="12.75">
      <c r="C269" s="97"/>
    </row>
    <row r="270" ht="12.75">
      <c r="C270" s="97"/>
    </row>
    <row r="271" ht="12.75">
      <c r="C271" s="97"/>
    </row>
    <row r="272" ht="12.75">
      <c r="C272" s="97"/>
    </row>
    <row r="273" ht="12.75">
      <c r="C273" s="97"/>
    </row>
    <row r="274" ht="12.75">
      <c r="C274" s="97"/>
    </row>
    <row r="275" ht="12.75">
      <c r="C275" s="97"/>
    </row>
    <row r="276" ht="12.75">
      <c r="C276" s="97"/>
    </row>
    <row r="277" ht="12.75">
      <c r="C277" s="97"/>
    </row>
    <row r="278" ht="12.75">
      <c r="C278" s="97"/>
    </row>
    <row r="279" ht="12.75">
      <c r="C279" s="97"/>
    </row>
    <row r="280" ht="12.75">
      <c r="C280" s="97"/>
    </row>
    <row r="281" ht="12.75">
      <c r="C281" s="97"/>
    </row>
    <row r="282" ht="12.75">
      <c r="C282" s="97"/>
    </row>
    <row r="283" ht="12.75">
      <c r="C283" s="97"/>
    </row>
    <row r="284" ht="12.75">
      <c r="C284" s="97"/>
    </row>
    <row r="285" ht="12.75">
      <c r="C285" s="97"/>
    </row>
    <row r="286" ht="12.75">
      <c r="C286" s="97"/>
    </row>
    <row r="287" ht="12.75">
      <c r="C287" s="97"/>
    </row>
    <row r="288" ht="12.75">
      <c r="C288" s="97"/>
    </row>
    <row r="289" ht="12.75">
      <c r="C289" s="97"/>
    </row>
    <row r="290" ht="12.75">
      <c r="C290" s="97"/>
    </row>
    <row r="291" ht="12.75">
      <c r="C291" s="97"/>
    </row>
    <row r="292" ht="12.75">
      <c r="C292" s="97"/>
    </row>
    <row r="293" ht="12.75">
      <c r="C293" s="97"/>
    </row>
    <row r="294" ht="12.75">
      <c r="C294" s="97"/>
    </row>
    <row r="295" ht="12.75">
      <c r="C295" s="97"/>
    </row>
    <row r="296" ht="12.75">
      <c r="C296" s="97"/>
    </row>
    <row r="297" ht="12.75">
      <c r="C297" s="97"/>
    </row>
    <row r="298" ht="12.75">
      <c r="C298" s="97"/>
    </row>
    <row r="299" ht="12.75">
      <c r="C299" s="97"/>
    </row>
    <row r="300" ht="12.75">
      <c r="C300" s="97"/>
    </row>
    <row r="301" ht="12.75">
      <c r="C301" s="97"/>
    </row>
    <row r="302" ht="12.75">
      <c r="C302" s="97"/>
    </row>
    <row r="303" ht="12.75">
      <c r="C303" s="97"/>
    </row>
    <row r="304" ht="12.75">
      <c r="C304" s="97"/>
    </row>
    <row r="305" ht="12.75">
      <c r="C305" s="97"/>
    </row>
    <row r="306" ht="12.75">
      <c r="C306" s="97"/>
    </row>
    <row r="307" ht="12.75">
      <c r="C307" s="97"/>
    </row>
    <row r="308" ht="12.75">
      <c r="C308" s="97"/>
    </row>
    <row r="309" ht="12.75">
      <c r="C309" s="97"/>
    </row>
    <row r="310" ht="12.75">
      <c r="C310" s="97"/>
    </row>
    <row r="311" ht="12.75">
      <c r="C311" s="97"/>
    </row>
    <row r="312" ht="12.75">
      <c r="C312" s="97"/>
    </row>
  </sheetData>
  <mergeCells count="14">
    <mergeCell ref="AD6:AE6"/>
    <mergeCell ref="C5:C7"/>
    <mergeCell ref="P5:U5"/>
    <mergeCell ref="D6:E6"/>
    <mergeCell ref="H6:K6"/>
    <mergeCell ref="L6:O6"/>
    <mergeCell ref="P6:Q6"/>
    <mergeCell ref="R6:S6"/>
    <mergeCell ref="T6:U6"/>
    <mergeCell ref="F5:G5"/>
    <mergeCell ref="V6:Y6"/>
    <mergeCell ref="Z6:AC6"/>
    <mergeCell ref="H5:O5"/>
    <mergeCell ref="F6:G6"/>
  </mergeCells>
  <printOptions horizontalCentered="1"/>
  <pageMargins left="0.75" right="0.75" top="1" bottom="1" header="0.5" footer="0.5"/>
  <pageSetup cellComments="asDisplayed" fitToHeight="3" fitToWidth="1" horizontalDpi="600" verticalDpi="600" orientation="landscape" scale="48" r:id="rId3"/>
  <headerFooter alignWithMargins="0">
    <oddHeader>&amp;C&amp;20Morton International, Inc., Newark Facility
NPDES Permit
Water Quality Objectives/Water Quality Criteria for RPA</oddHeader>
    <oddFooter>&amp;CPage &amp;P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O129"/>
  <sheetViews>
    <sheetView tabSelected="1" workbookViewId="0" topLeftCell="A4">
      <pane xSplit="2" ySplit="1" topLeftCell="C5" activePane="bottomRight" state="frozen"/>
      <selection pane="topLeft" activeCell="A4" sqref="A4"/>
      <selection pane="topRight" activeCell="C4" sqref="C4"/>
      <selection pane="bottomLeft" activeCell="A10" sqref="A10"/>
      <selection pane="bottomRight" activeCell="A19" sqref="A19"/>
    </sheetView>
  </sheetViews>
  <sheetFormatPr defaultColWidth="9.140625" defaultRowHeight="12.75"/>
  <cols>
    <col min="1" max="1" width="9.140625" style="123" customWidth="1"/>
    <col min="2" max="2" width="20.8515625" style="123" customWidth="1"/>
    <col min="3" max="4" width="9.140625" style="123" customWidth="1"/>
    <col min="5" max="5" width="10.8515625" style="123" customWidth="1"/>
    <col min="6" max="6" width="9.140625" style="123" customWidth="1"/>
    <col min="7" max="7" width="15.00390625" style="123" customWidth="1"/>
    <col min="8" max="8" width="0.9921875" style="123" customWidth="1"/>
    <col min="9" max="10" width="9.140625" style="123" customWidth="1"/>
    <col min="11" max="11" width="10.8515625" style="123" customWidth="1"/>
    <col min="12" max="12" width="12.57421875" style="123" customWidth="1"/>
    <col min="13" max="13" width="15.00390625" style="123" customWidth="1"/>
    <col min="14" max="14" width="1.7109375" style="123" customWidth="1"/>
    <col min="15" max="15" width="23.8515625" style="123" customWidth="1"/>
    <col min="16" max="16384" width="9.140625" style="123" customWidth="1"/>
  </cols>
  <sheetData>
    <row r="1" ht="12" thickBot="1"/>
    <row r="2" spans="1:15" ht="14.25" thickBot="1" thickTop="1">
      <c r="A2" s="277"/>
      <c r="B2" s="278"/>
      <c r="C2" s="568" t="s">
        <v>257</v>
      </c>
      <c r="D2" s="569"/>
      <c r="E2" s="569"/>
      <c r="F2" s="569"/>
      <c r="G2" s="569"/>
      <c r="H2" s="163"/>
      <c r="I2" s="570" t="s">
        <v>258</v>
      </c>
      <c r="J2" s="571"/>
      <c r="K2" s="571"/>
      <c r="L2" s="571"/>
      <c r="M2" s="572"/>
      <c r="N2" s="163"/>
      <c r="O2" s="167"/>
    </row>
    <row r="3" spans="1:15" ht="26.25" customHeight="1">
      <c r="A3" s="577"/>
      <c r="B3" s="579" t="s">
        <v>6</v>
      </c>
      <c r="C3" s="581" t="s">
        <v>152</v>
      </c>
      <c r="D3" s="573" t="s">
        <v>153</v>
      </c>
      <c r="E3" s="573" t="s">
        <v>243</v>
      </c>
      <c r="F3" s="573" t="s">
        <v>244</v>
      </c>
      <c r="G3" s="280"/>
      <c r="H3" s="164"/>
      <c r="I3" s="583" t="s">
        <v>254</v>
      </c>
      <c r="J3" s="573" t="s">
        <v>255</v>
      </c>
      <c r="K3" s="573" t="s">
        <v>243</v>
      </c>
      <c r="L3" s="284"/>
      <c r="M3" s="282"/>
      <c r="N3" s="164"/>
      <c r="O3" s="575" t="s">
        <v>250</v>
      </c>
    </row>
    <row r="4" spans="1:15" ht="64.5" customHeight="1" thickBot="1">
      <c r="A4" s="578"/>
      <c r="B4" s="580"/>
      <c r="C4" s="582"/>
      <c r="D4" s="574"/>
      <c r="E4" s="574"/>
      <c r="F4" s="574"/>
      <c r="G4" s="281" t="s">
        <v>252</v>
      </c>
      <c r="H4" s="165"/>
      <c r="I4" s="584"/>
      <c r="J4" s="574"/>
      <c r="K4" s="574"/>
      <c r="L4" s="279" t="s">
        <v>256</v>
      </c>
      <c r="M4" s="283" t="s">
        <v>252</v>
      </c>
      <c r="N4" s="165"/>
      <c r="O4" s="576"/>
    </row>
    <row r="5" spans="1:15" ht="12" thickTop="1">
      <c r="A5" s="124">
        <v>1</v>
      </c>
      <c r="B5" s="125" t="s">
        <v>23</v>
      </c>
      <c r="C5" s="126" t="s">
        <v>24</v>
      </c>
      <c r="D5" s="126" t="s">
        <v>25</v>
      </c>
      <c r="E5" s="126"/>
      <c r="F5" s="397">
        <v>71.1</v>
      </c>
      <c r="G5" s="162"/>
      <c r="H5" s="165"/>
      <c r="I5" s="126" t="s">
        <v>24</v>
      </c>
      <c r="J5" s="126" t="s">
        <v>25</v>
      </c>
      <c r="K5" s="342"/>
      <c r="L5" s="339">
        <v>3.9</v>
      </c>
      <c r="M5" s="127"/>
      <c r="N5" s="165"/>
      <c r="O5" s="126">
        <f>IF(RPA!C4="No Criteria","No Criteria","")</f>
      </c>
    </row>
    <row r="6" spans="1:15" ht="11.25">
      <c r="A6" s="128">
        <v>2</v>
      </c>
      <c r="B6" s="129" t="s">
        <v>263</v>
      </c>
      <c r="C6" s="126" t="s">
        <v>24</v>
      </c>
      <c r="D6" s="130" t="s">
        <v>25</v>
      </c>
      <c r="E6" s="130"/>
      <c r="F6" s="131">
        <v>13.3</v>
      </c>
      <c r="G6" s="162"/>
      <c r="H6" s="165"/>
      <c r="I6" s="126" t="s">
        <v>24</v>
      </c>
      <c r="J6" s="130" t="s">
        <v>25</v>
      </c>
      <c r="K6" s="126"/>
      <c r="L6" s="127">
        <v>34.8</v>
      </c>
      <c r="M6" s="127"/>
      <c r="N6" s="165"/>
      <c r="O6" s="126">
        <f>IF(RPA!C5="No Criteria","No Criteria","")</f>
      </c>
    </row>
    <row r="7" spans="1:15" ht="11.25">
      <c r="A7" s="128">
        <v>3</v>
      </c>
      <c r="B7" s="129" t="s">
        <v>26</v>
      </c>
      <c r="C7" s="126" t="s">
        <v>24</v>
      </c>
      <c r="D7" s="130" t="s">
        <v>24</v>
      </c>
      <c r="E7" s="130">
        <v>0.1</v>
      </c>
      <c r="F7" s="131"/>
      <c r="G7" s="162"/>
      <c r="H7" s="165"/>
      <c r="I7" s="126" t="s">
        <v>24</v>
      </c>
      <c r="J7" s="130" t="s">
        <v>24</v>
      </c>
      <c r="K7" s="130">
        <v>0.1</v>
      </c>
      <c r="L7" s="127"/>
      <c r="M7" s="127"/>
      <c r="N7" s="165"/>
      <c r="O7" s="126" t="str">
        <f>IF(RPA!C6="No Criteria","No Criteria","")</f>
        <v>No Criteria</v>
      </c>
    </row>
    <row r="8" spans="1:15" ht="11.25">
      <c r="A8" s="128">
        <v>4</v>
      </c>
      <c r="B8" s="129" t="s">
        <v>264</v>
      </c>
      <c r="C8" s="126" t="s">
        <v>24</v>
      </c>
      <c r="D8" s="130" t="s">
        <v>24</v>
      </c>
      <c r="E8" s="130">
        <v>0.02</v>
      </c>
      <c r="F8" s="131"/>
      <c r="G8" s="162"/>
      <c r="H8" s="165"/>
      <c r="I8" s="126" t="s">
        <v>24</v>
      </c>
      <c r="J8" s="130" t="s">
        <v>24</v>
      </c>
      <c r="K8" s="130">
        <v>0.02</v>
      </c>
      <c r="L8" s="132"/>
      <c r="M8" s="127"/>
      <c r="N8" s="165"/>
      <c r="O8" s="126">
        <f>IF(RPA!C7="No Criteria","No Criteria","")</f>
      </c>
    </row>
    <row r="9" spans="1:15" ht="11.25">
      <c r="A9" s="128" t="s">
        <v>27</v>
      </c>
      <c r="B9" s="129" t="s">
        <v>28</v>
      </c>
      <c r="C9" s="126" t="s">
        <v>25</v>
      </c>
      <c r="D9" s="133"/>
      <c r="E9" s="133"/>
      <c r="F9" s="131"/>
      <c r="G9" s="162"/>
      <c r="H9" s="165"/>
      <c r="I9" s="126" t="s">
        <v>25</v>
      </c>
      <c r="J9" s="133"/>
      <c r="K9" s="133"/>
      <c r="L9" s="132"/>
      <c r="M9" s="127"/>
      <c r="N9" s="165"/>
      <c r="O9" s="126">
        <f>IF(RPA!C8="No Criteria","No Criteria","")</f>
      </c>
    </row>
    <row r="10" spans="1:15" ht="11.25">
      <c r="A10" s="128" t="s">
        <v>29</v>
      </c>
      <c r="B10" s="129" t="s">
        <v>314</v>
      </c>
      <c r="C10" s="126" t="s">
        <v>24</v>
      </c>
      <c r="D10" s="133" t="s">
        <v>24</v>
      </c>
      <c r="E10" s="133">
        <v>2</v>
      </c>
      <c r="F10" s="131"/>
      <c r="G10" s="162"/>
      <c r="H10" s="165"/>
      <c r="I10" s="126" t="s">
        <v>24</v>
      </c>
      <c r="J10" s="133" t="s">
        <v>24</v>
      </c>
      <c r="K10" s="133">
        <v>2</v>
      </c>
      <c r="L10" s="132"/>
      <c r="M10" s="127"/>
      <c r="N10" s="165"/>
      <c r="O10" s="126">
        <f>IF(RPA!C9="No Criteria","No Criteria","")</f>
      </c>
    </row>
    <row r="11" spans="1:15" ht="11.25">
      <c r="A11" s="128">
        <v>6</v>
      </c>
      <c r="B11" s="134" t="s">
        <v>205</v>
      </c>
      <c r="C11" s="126" t="s">
        <v>24</v>
      </c>
      <c r="D11" s="135" t="s">
        <v>25</v>
      </c>
      <c r="E11" s="135"/>
      <c r="F11" s="131">
        <v>46.1</v>
      </c>
      <c r="G11" s="162"/>
      <c r="H11" s="165"/>
      <c r="I11" s="126" t="s">
        <v>24</v>
      </c>
      <c r="J11" s="135" t="s">
        <v>25</v>
      </c>
      <c r="K11" s="135"/>
      <c r="L11" s="132">
        <v>57.7</v>
      </c>
      <c r="M11" s="127"/>
      <c r="N11" s="165"/>
      <c r="O11" s="126">
        <f>IF(RPA!C10="No Criteria","No Criteria","")</f>
      </c>
    </row>
    <row r="12" spans="1:15" ht="11.25">
      <c r="A12" s="128">
        <v>7</v>
      </c>
      <c r="B12" s="129" t="s">
        <v>265</v>
      </c>
      <c r="C12" s="126" t="s">
        <v>24</v>
      </c>
      <c r="D12" s="133" t="s">
        <v>25</v>
      </c>
      <c r="E12" s="133"/>
      <c r="F12" s="131">
        <v>110</v>
      </c>
      <c r="G12" s="162"/>
      <c r="H12" s="165"/>
      <c r="I12" s="126" t="s">
        <v>24</v>
      </c>
      <c r="J12" s="133" t="s">
        <v>25</v>
      </c>
      <c r="K12" s="133"/>
      <c r="L12" s="132">
        <v>4.6</v>
      </c>
      <c r="M12" s="127"/>
      <c r="N12" s="165"/>
      <c r="O12" s="126">
        <f>IF(RPA!C11="No Criteria","No Criteria","")</f>
      </c>
    </row>
    <row r="13" spans="1:15" ht="11.25">
      <c r="A13" s="128">
        <v>8</v>
      </c>
      <c r="B13" s="134" t="s">
        <v>266</v>
      </c>
      <c r="C13" s="126" t="s">
        <v>24</v>
      </c>
      <c r="D13" s="133" t="s">
        <v>25</v>
      </c>
      <c r="E13" s="133"/>
      <c r="F13" s="131">
        <v>0.0051</v>
      </c>
      <c r="G13" s="162"/>
      <c r="H13" s="165"/>
      <c r="I13" s="126" t="s">
        <v>24</v>
      </c>
      <c r="J13" s="133" t="s">
        <v>25</v>
      </c>
      <c r="K13" s="133"/>
      <c r="L13" s="132">
        <v>0.0136</v>
      </c>
      <c r="M13" s="127"/>
      <c r="N13" s="165"/>
      <c r="O13" s="126">
        <f>IF(RPA!C12="No Criteria","No Criteria","")</f>
      </c>
    </row>
    <row r="14" spans="1:15" ht="11.25">
      <c r="A14" s="128">
        <v>9</v>
      </c>
      <c r="B14" s="136" t="s">
        <v>267</v>
      </c>
      <c r="C14" s="126" t="s">
        <v>24</v>
      </c>
      <c r="D14" s="133" t="s">
        <v>25</v>
      </c>
      <c r="E14" s="133"/>
      <c r="F14" s="131">
        <v>20</v>
      </c>
      <c r="G14" s="162"/>
      <c r="H14" s="165"/>
      <c r="I14" s="126" t="s">
        <v>24</v>
      </c>
      <c r="J14" s="133" t="s">
        <v>25</v>
      </c>
      <c r="K14" s="133"/>
      <c r="L14" s="132">
        <v>16</v>
      </c>
      <c r="M14" s="127"/>
      <c r="N14" s="165"/>
      <c r="O14" s="126">
        <f>IF(RPA!C13="No Criteria","No Criteria","")</f>
      </c>
    </row>
    <row r="15" spans="1:15" ht="11.25">
      <c r="A15" s="128">
        <v>10</v>
      </c>
      <c r="B15" s="134" t="s">
        <v>209</v>
      </c>
      <c r="C15" s="126" t="s">
        <v>24</v>
      </c>
      <c r="D15" s="133" t="s">
        <v>25</v>
      </c>
      <c r="E15" s="133"/>
      <c r="F15" s="131">
        <v>41</v>
      </c>
      <c r="G15" s="162"/>
      <c r="H15" s="165"/>
      <c r="I15" s="126" t="s">
        <v>24</v>
      </c>
      <c r="J15" s="133" t="s">
        <v>25</v>
      </c>
      <c r="K15" s="133"/>
      <c r="L15" s="132">
        <v>144</v>
      </c>
      <c r="M15" s="127"/>
      <c r="N15" s="165"/>
      <c r="O15" s="126">
        <f>IF(RPA!C14="No Criteria","No Criteria","")</f>
      </c>
    </row>
    <row r="16" spans="1:15" ht="11.25">
      <c r="A16" s="128">
        <v>11</v>
      </c>
      <c r="B16" s="137" t="s">
        <v>268</v>
      </c>
      <c r="C16" s="126" t="s">
        <v>24</v>
      </c>
      <c r="D16" s="133" t="s">
        <v>25</v>
      </c>
      <c r="E16" s="133"/>
      <c r="F16" s="132">
        <v>1.55</v>
      </c>
      <c r="G16" s="162"/>
      <c r="H16" s="165"/>
      <c r="I16" s="126" t="s">
        <v>24</v>
      </c>
      <c r="J16" s="133" t="s">
        <v>24</v>
      </c>
      <c r="K16" s="133">
        <v>0.08</v>
      </c>
      <c r="L16" s="132"/>
      <c r="M16" s="127"/>
      <c r="N16" s="165"/>
      <c r="O16" s="126">
        <f>IF(RPA!C15="No Criteria","No Criteria","")</f>
      </c>
    </row>
    <row r="17" spans="1:15" ht="11.25">
      <c r="A17" s="128">
        <v>12</v>
      </c>
      <c r="B17" s="129" t="s">
        <v>30</v>
      </c>
      <c r="C17" s="126" t="s">
        <v>24</v>
      </c>
      <c r="D17" s="133" t="s">
        <v>25</v>
      </c>
      <c r="E17" s="133"/>
      <c r="F17" s="132">
        <v>0.3</v>
      </c>
      <c r="G17" s="162"/>
      <c r="H17" s="165"/>
      <c r="I17" s="126" t="s">
        <v>24</v>
      </c>
      <c r="J17" s="133" t="s">
        <v>25</v>
      </c>
      <c r="K17" s="133"/>
      <c r="L17" s="132">
        <v>0.17</v>
      </c>
      <c r="M17" s="127"/>
      <c r="N17" s="165"/>
      <c r="O17" s="126">
        <f>IF(RPA!C16="No Criteria","No Criteria","")</f>
      </c>
    </row>
    <row r="18" spans="1:15" ht="11.25">
      <c r="A18" s="128">
        <v>13</v>
      </c>
      <c r="B18" s="134" t="s">
        <v>269</v>
      </c>
      <c r="C18" s="126" t="s">
        <v>24</v>
      </c>
      <c r="D18" s="130" t="s">
        <v>25</v>
      </c>
      <c r="E18" s="130"/>
      <c r="F18" s="131">
        <v>113</v>
      </c>
      <c r="G18" s="162"/>
      <c r="H18" s="165"/>
      <c r="I18" s="126" t="s">
        <v>24</v>
      </c>
      <c r="J18" s="130" t="s">
        <v>25</v>
      </c>
      <c r="K18" s="130"/>
      <c r="L18" s="132">
        <v>117</v>
      </c>
      <c r="M18" s="127"/>
      <c r="N18" s="165"/>
      <c r="O18" s="126">
        <f>IF(RPA!C17="No Criteria","No Criteria","")</f>
      </c>
    </row>
    <row r="19" spans="1:15" ht="11.25">
      <c r="A19" s="128">
        <v>14</v>
      </c>
      <c r="B19" s="134" t="s">
        <v>270</v>
      </c>
      <c r="C19" s="126" t="s">
        <v>24</v>
      </c>
      <c r="D19" s="130" t="s">
        <v>24</v>
      </c>
      <c r="E19" s="130">
        <v>2</v>
      </c>
      <c r="F19" s="131"/>
      <c r="G19" s="162"/>
      <c r="H19" s="165"/>
      <c r="I19" s="126" t="s">
        <v>24</v>
      </c>
      <c r="J19" s="130" t="s">
        <v>25</v>
      </c>
      <c r="K19" s="130"/>
      <c r="L19" s="132">
        <v>30</v>
      </c>
      <c r="M19" s="127"/>
      <c r="N19" s="165"/>
      <c r="O19" s="126">
        <f>IF(RPA!C18="No Criteria","No Criteria","")</f>
      </c>
    </row>
    <row r="20" spans="1:15" ht="11.25">
      <c r="A20" s="128">
        <v>15</v>
      </c>
      <c r="B20" s="129" t="s">
        <v>31</v>
      </c>
      <c r="C20" s="126" t="s">
        <v>25</v>
      </c>
      <c r="D20" s="130"/>
      <c r="E20" s="130"/>
      <c r="F20" s="132"/>
      <c r="G20" s="162">
        <f aca="true" t="shared" si="0" ref="G20:G69">IF(C20="","Check input",IF(C20="Y",IF(D20="","Check input",IF(D20="Y",IF(E20="","Check input",IF(F20="","","Check input")),IF(E20="",IF(F20="","Check input",""),"Check input"))),IF(D20="",IF(E20="",IF(F20="","","Check input"),"Check input"),"Check input")))</f>
      </c>
      <c r="H20" s="165"/>
      <c r="I20" s="126" t="s">
        <v>25</v>
      </c>
      <c r="J20" s="130"/>
      <c r="K20" s="130"/>
      <c r="L20" s="132"/>
      <c r="M20" s="127">
        <f aca="true" t="shared" si="1" ref="M20:M69">IF(I20="","Check input",IF(I20="Y",IF(J20="","Check input",IF(J20="Y",IF(K20="","Check input",IF(L20="","","Check input")),IF(K20="",IF(L20="","Check input",""),"Check input"))),IF(J20="",IF(K20="",IF(L20="","","Check input"),"Check input"),"Check input")))</f>
      </c>
      <c r="N20" s="165"/>
      <c r="O20" s="126" t="str">
        <f>IF(RPA!C19="No Criteria","No Criteria","")</f>
        <v>No Criteria</v>
      </c>
    </row>
    <row r="21" spans="1:15" ht="11.25">
      <c r="A21" s="139"/>
      <c r="B21" s="140" t="s">
        <v>292</v>
      </c>
      <c r="C21" s="126" t="s">
        <v>24</v>
      </c>
      <c r="D21" s="130" t="s">
        <v>25</v>
      </c>
      <c r="E21" s="298"/>
      <c r="F21" s="412">
        <v>5.9E-06</v>
      </c>
      <c r="G21" s="162">
        <f t="shared" si="0"/>
      </c>
      <c r="H21" s="165"/>
      <c r="I21" s="126" t="s">
        <v>24</v>
      </c>
      <c r="J21" s="130" t="s">
        <v>25</v>
      </c>
      <c r="K21" s="130"/>
      <c r="L21" s="412">
        <v>6.01E-05</v>
      </c>
      <c r="M21" s="127">
        <f t="shared" si="1"/>
      </c>
      <c r="N21" s="165"/>
      <c r="O21" s="126">
        <f>IF(RPA!C20="No Criteria","No Criteria","")</f>
      </c>
    </row>
    <row r="22" spans="1:15" ht="11.25">
      <c r="A22" s="128">
        <v>17</v>
      </c>
      <c r="B22" s="129" t="s">
        <v>32</v>
      </c>
      <c r="C22" s="126" t="s">
        <v>24</v>
      </c>
      <c r="D22" s="130" t="s">
        <v>24</v>
      </c>
      <c r="E22" s="130">
        <v>2.5</v>
      </c>
      <c r="F22" s="141"/>
      <c r="G22" s="162">
        <f t="shared" si="0"/>
      </c>
      <c r="H22" s="165"/>
      <c r="I22" s="126" t="s">
        <v>24</v>
      </c>
      <c r="J22" s="130" t="s">
        <v>24</v>
      </c>
      <c r="K22" s="130">
        <v>2.5</v>
      </c>
      <c r="L22" s="132"/>
      <c r="M22" s="127">
        <f t="shared" si="1"/>
      </c>
      <c r="N22" s="165"/>
      <c r="O22" s="126">
        <f>IF(RPA!C21="No Criteria","No Criteria","")</f>
      </c>
    </row>
    <row r="23" spans="1:15" ht="11.25">
      <c r="A23" s="128">
        <v>18</v>
      </c>
      <c r="B23" s="129" t="s">
        <v>33</v>
      </c>
      <c r="C23" s="126" t="s">
        <v>24</v>
      </c>
      <c r="D23" s="130" t="s">
        <v>24</v>
      </c>
      <c r="E23" s="130">
        <v>1</v>
      </c>
      <c r="F23" s="142"/>
      <c r="G23" s="162">
        <f t="shared" si="0"/>
      </c>
      <c r="H23" s="165"/>
      <c r="I23" s="126" t="s">
        <v>24</v>
      </c>
      <c r="J23" s="130" t="s">
        <v>24</v>
      </c>
      <c r="K23" s="130">
        <v>1</v>
      </c>
      <c r="L23" s="138"/>
      <c r="M23" s="127">
        <f t="shared" si="1"/>
      </c>
      <c r="N23" s="165"/>
      <c r="O23" s="126">
        <f>IF(RPA!C22="No Criteria","No Criteria","")</f>
      </c>
    </row>
    <row r="24" spans="1:15" ht="12.75">
      <c r="A24" s="128">
        <v>19</v>
      </c>
      <c r="B24" s="129" t="s">
        <v>34</v>
      </c>
      <c r="C24" s="126" t="s">
        <v>24</v>
      </c>
      <c r="D24" s="130" t="s">
        <v>24</v>
      </c>
      <c r="E24" s="130">
        <v>0.5</v>
      </c>
      <c r="F24" s="336"/>
      <c r="G24" s="162">
        <f t="shared" si="0"/>
      </c>
      <c r="H24" s="165"/>
      <c r="I24" s="126" t="s">
        <v>24</v>
      </c>
      <c r="J24" s="130" t="s">
        <v>24</v>
      </c>
      <c r="K24" s="130">
        <v>0.5</v>
      </c>
      <c r="L24" s="340"/>
      <c r="M24" s="127">
        <f t="shared" si="1"/>
      </c>
      <c r="N24" s="165"/>
      <c r="O24" s="126">
        <f>IF(RPA!C23="No Criteria","No Criteria","")</f>
      </c>
    </row>
    <row r="25" spans="1:15" ht="11.25">
      <c r="A25" s="128">
        <v>20</v>
      </c>
      <c r="B25" s="129" t="s">
        <v>35</v>
      </c>
      <c r="C25" s="126" t="s">
        <v>24</v>
      </c>
      <c r="D25" s="130" t="s">
        <v>24</v>
      </c>
      <c r="E25" s="130">
        <v>0.5</v>
      </c>
      <c r="F25" s="141"/>
      <c r="G25" s="162">
        <f t="shared" si="0"/>
      </c>
      <c r="H25" s="165"/>
      <c r="I25" s="126" t="s">
        <v>24</v>
      </c>
      <c r="J25" s="130" t="s">
        <v>24</v>
      </c>
      <c r="K25" s="130">
        <v>0.5</v>
      </c>
      <c r="L25" s="132"/>
      <c r="M25" s="127">
        <f t="shared" si="1"/>
      </c>
      <c r="N25" s="165"/>
      <c r="O25" s="126">
        <f>IF(RPA!C24="No Criteria","No Criteria","")</f>
      </c>
    </row>
    <row r="26" spans="1:15" ht="11.25">
      <c r="A26" s="128">
        <v>21</v>
      </c>
      <c r="B26" s="129" t="s">
        <v>36</v>
      </c>
      <c r="C26" s="126" t="s">
        <v>24</v>
      </c>
      <c r="D26" s="130" t="s">
        <v>24</v>
      </c>
      <c r="E26" s="130">
        <v>0.5</v>
      </c>
      <c r="F26" s="141"/>
      <c r="G26" s="162">
        <f t="shared" si="0"/>
      </c>
      <c r="H26" s="165"/>
      <c r="I26" s="126" t="s">
        <v>24</v>
      </c>
      <c r="J26" s="130" t="s">
        <v>24</v>
      </c>
      <c r="K26" s="130">
        <v>0.5</v>
      </c>
      <c r="L26" s="132"/>
      <c r="M26" s="127">
        <f t="shared" si="1"/>
      </c>
      <c r="N26" s="165"/>
      <c r="O26" s="126">
        <f>IF(RPA!C25="No Criteria","No Criteria","")</f>
      </c>
    </row>
    <row r="27" spans="1:15" ht="11.25">
      <c r="A27" s="128">
        <v>22</v>
      </c>
      <c r="B27" s="129" t="s">
        <v>37</v>
      </c>
      <c r="C27" s="126" t="s">
        <v>24</v>
      </c>
      <c r="D27" s="130" t="s">
        <v>24</v>
      </c>
      <c r="E27" s="130">
        <v>0.5</v>
      </c>
      <c r="F27" s="141"/>
      <c r="G27" s="162">
        <f t="shared" si="0"/>
      </c>
      <c r="H27" s="165"/>
      <c r="I27" s="126" t="s">
        <v>24</v>
      </c>
      <c r="J27" s="130" t="s">
        <v>24</v>
      </c>
      <c r="K27" s="130">
        <v>0.5</v>
      </c>
      <c r="L27" s="132"/>
      <c r="M27" s="127">
        <f t="shared" si="1"/>
      </c>
      <c r="N27" s="165"/>
      <c r="O27" s="126">
        <f>IF(RPA!C26="No Criteria","No Criteria","")</f>
      </c>
    </row>
    <row r="28" spans="1:15" ht="12.75">
      <c r="A28" s="128">
        <v>23</v>
      </c>
      <c r="B28" s="129" t="s">
        <v>38</v>
      </c>
      <c r="C28" s="126" t="s">
        <v>24</v>
      </c>
      <c r="D28" s="130" t="s">
        <v>24</v>
      </c>
      <c r="E28" s="130">
        <v>0.5</v>
      </c>
      <c r="F28" s="301"/>
      <c r="G28" s="162">
        <f t="shared" si="0"/>
      </c>
      <c r="H28" s="165"/>
      <c r="I28" s="126" t="s">
        <v>24</v>
      </c>
      <c r="J28" s="130" t="s">
        <v>24</v>
      </c>
      <c r="K28" s="130">
        <v>0.5</v>
      </c>
      <c r="L28" s="132"/>
      <c r="M28" s="127">
        <f t="shared" si="1"/>
      </c>
      <c r="N28" s="165"/>
      <c r="O28" s="126">
        <f>IF(RPA!C27="No Criteria","No Criteria","")</f>
      </c>
    </row>
    <row r="29" spans="1:15" ht="11.25">
      <c r="A29" s="128">
        <v>24</v>
      </c>
      <c r="B29" s="129" t="s">
        <v>39</v>
      </c>
      <c r="C29" s="126" t="s">
        <v>24</v>
      </c>
      <c r="D29" s="130" t="s">
        <v>24</v>
      </c>
      <c r="E29" s="130">
        <v>0.5</v>
      </c>
      <c r="F29" s="143"/>
      <c r="G29" s="162">
        <f t="shared" si="0"/>
      </c>
      <c r="H29" s="165"/>
      <c r="I29" s="126" t="s">
        <v>24</v>
      </c>
      <c r="J29" s="130" t="s">
        <v>24</v>
      </c>
      <c r="K29" s="130">
        <v>0.5</v>
      </c>
      <c r="L29" s="132"/>
      <c r="M29" s="127">
        <f t="shared" si="1"/>
      </c>
      <c r="N29" s="165"/>
      <c r="O29" s="126" t="str">
        <f>IF(RPA!C28="No Criteria","No Criteria","")</f>
        <v>No Criteria</v>
      </c>
    </row>
    <row r="30" spans="1:15" ht="12.75">
      <c r="A30" s="128">
        <v>25</v>
      </c>
      <c r="B30" s="129" t="s">
        <v>40</v>
      </c>
      <c r="C30" s="126" t="s">
        <v>24</v>
      </c>
      <c r="D30" s="130" t="s">
        <v>24</v>
      </c>
      <c r="E30" s="130">
        <v>0.5</v>
      </c>
      <c r="F30" s="301"/>
      <c r="G30" s="162">
        <f t="shared" si="0"/>
      </c>
      <c r="H30" s="165"/>
      <c r="I30" s="126" t="s">
        <v>24</v>
      </c>
      <c r="J30" s="130" t="s">
        <v>24</v>
      </c>
      <c r="K30" s="130">
        <v>0.5</v>
      </c>
      <c r="L30" s="132"/>
      <c r="M30" s="127">
        <f t="shared" si="1"/>
      </c>
      <c r="N30" s="165"/>
      <c r="O30" s="126" t="str">
        <f>IF(RPA!C29="No Criteria","No Criteria","")</f>
        <v>No Criteria</v>
      </c>
    </row>
    <row r="31" spans="1:15" ht="12.75">
      <c r="A31" s="128">
        <v>26</v>
      </c>
      <c r="B31" s="129" t="s">
        <v>41</v>
      </c>
      <c r="C31" s="126" t="s">
        <v>24</v>
      </c>
      <c r="D31" s="130" t="s">
        <v>24</v>
      </c>
      <c r="E31" s="130">
        <v>0.5</v>
      </c>
      <c r="F31" s="299"/>
      <c r="G31" s="162">
        <f t="shared" si="0"/>
      </c>
      <c r="H31" s="165"/>
      <c r="I31" s="126" t="s">
        <v>24</v>
      </c>
      <c r="J31" s="130" t="s">
        <v>24</v>
      </c>
      <c r="K31" s="130">
        <v>0.5</v>
      </c>
      <c r="L31" s="130"/>
      <c r="M31" s="127">
        <f t="shared" si="1"/>
      </c>
      <c r="N31" s="165"/>
      <c r="O31" s="126" t="str">
        <f>IF(RPA!C30="No Criteria","No Criteria","")</f>
        <v>No Criteria</v>
      </c>
    </row>
    <row r="32" spans="1:15" ht="12.75">
      <c r="A32" s="128">
        <v>27</v>
      </c>
      <c r="B32" s="129" t="s">
        <v>42</v>
      </c>
      <c r="C32" s="126" t="s">
        <v>24</v>
      </c>
      <c r="D32" s="130" t="s">
        <v>24</v>
      </c>
      <c r="E32" s="130">
        <v>0.5</v>
      </c>
      <c r="F32" s="301"/>
      <c r="G32" s="162">
        <f t="shared" si="0"/>
      </c>
      <c r="H32" s="165"/>
      <c r="I32" s="126" t="s">
        <v>24</v>
      </c>
      <c r="J32" s="130" t="s">
        <v>24</v>
      </c>
      <c r="K32" s="130">
        <v>0.5</v>
      </c>
      <c r="L32" s="132"/>
      <c r="M32" s="127">
        <f t="shared" si="1"/>
      </c>
      <c r="N32" s="165"/>
      <c r="O32" s="126">
        <f>IF(RPA!C31="No Criteria","No Criteria","")</f>
      </c>
    </row>
    <row r="33" spans="1:15" ht="11.25">
      <c r="A33" s="128">
        <v>28</v>
      </c>
      <c r="B33" s="129" t="s">
        <v>43</v>
      </c>
      <c r="C33" s="126" t="s">
        <v>24</v>
      </c>
      <c r="D33" s="130" t="s">
        <v>24</v>
      </c>
      <c r="E33" s="130">
        <v>0.5</v>
      </c>
      <c r="F33" s="142"/>
      <c r="G33" s="162">
        <f t="shared" si="0"/>
      </c>
      <c r="H33" s="165"/>
      <c r="I33" s="126" t="s">
        <v>24</v>
      </c>
      <c r="J33" s="130" t="s">
        <v>24</v>
      </c>
      <c r="K33" s="130">
        <v>0.5</v>
      </c>
      <c r="L33" s="132"/>
      <c r="M33" s="127">
        <f t="shared" si="1"/>
      </c>
      <c r="N33" s="165"/>
      <c r="O33" s="126" t="str">
        <f>IF(RPA!C32="No Criteria","No Criteria","")</f>
        <v>No Criteria</v>
      </c>
    </row>
    <row r="34" spans="1:15" ht="11.25">
      <c r="A34" s="128">
        <v>29</v>
      </c>
      <c r="B34" s="129" t="s">
        <v>44</v>
      </c>
      <c r="C34" s="126" t="s">
        <v>24</v>
      </c>
      <c r="D34" s="130" t="s">
        <v>24</v>
      </c>
      <c r="E34" s="130">
        <v>0.5</v>
      </c>
      <c r="F34" s="141"/>
      <c r="G34" s="162">
        <f t="shared" si="0"/>
      </c>
      <c r="H34" s="165"/>
      <c r="I34" s="126" t="s">
        <v>24</v>
      </c>
      <c r="J34" s="130" t="s">
        <v>24</v>
      </c>
      <c r="K34" s="130">
        <v>0.5</v>
      </c>
      <c r="L34" s="127"/>
      <c r="M34" s="127">
        <f t="shared" si="1"/>
      </c>
      <c r="N34" s="165"/>
      <c r="O34" s="126">
        <f>IF(RPA!C33="No Criteria","No Criteria","")</f>
      </c>
    </row>
    <row r="35" spans="1:15" ht="11.25">
      <c r="A35" s="128">
        <v>30</v>
      </c>
      <c r="B35" s="129" t="s">
        <v>45</v>
      </c>
      <c r="C35" s="126" t="s">
        <v>24</v>
      </c>
      <c r="D35" s="130" t="s">
        <v>24</v>
      </c>
      <c r="E35" s="130">
        <v>0.5</v>
      </c>
      <c r="F35" s="141"/>
      <c r="G35" s="162">
        <f t="shared" si="0"/>
      </c>
      <c r="H35" s="165"/>
      <c r="I35" s="126" t="s">
        <v>24</v>
      </c>
      <c r="J35" s="130" t="s">
        <v>24</v>
      </c>
      <c r="K35" s="130">
        <v>0.5</v>
      </c>
      <c r="L35" s="132"/>
      <c r="M35" s="127">
        <f t="shared" si="1"/>
      </c>
      <c r="N35" s="165"/>
      <c r="O35" s="126">
        <f>IF(RPA!C34="No Criteria","No Criteria","")</f>
      </c>
    </row>
    <row r="36" spans="1:15" ht="11.25">
      <c r="A36" s="128">
        <v>31</v>
      </c>
      <c r="B36" s="129" t="s">
        <v>46</v>
      </c>
      <c r="C36" s="126" t="s">
        <v>24</v>
      </c>
      <c r="D36" s="130" t="s">
        <v>24</v>
      </c>
      <c r="E36" s="130">
        <v>0.5</v>
      </c>
      <c r="F36" s="141"/>
      <c r="G36" s="162">
        <f t="shared" si="0"/>
      </c>
      <c r="H36" s="165"/>
      <c r="I36" s="126" t="s">
        <v>24</v>
      </c>
      <c r="J36" s="130" t="s">
        <v>24</v>
      </c>
      <c r="K36" s="130">
        <v>0.5</v>
      </c>
      <c r="L36" s="132"/>
      <c r="M36" s="127">
        <f t="shared" si="1"/>
      </c>
      <c r="N36" s="165"/>
      <c r="O36" s="126">
        <f>IF(RPA!C35="No Criteria","No Criteria","")</f>
      </c>
    </row>
    <row r="37" spans="1:15" ht="11.25">
      <c r="A37" s="128">
        <v>32</v>
      </c>
      <c r="B37" s="129" t="s">
        <v>47</v>
      </c>
      <c r="C37" s="126" t="s">
        <v>24</v>
      </c>
      <c r="D37" s="130" t="s">
        <v>24</v>
      </c>
      <c r="E37" s="130">
        <v>0.5</v>
      </c>
      <c r="F37" s="141"/>
      <c r="G37" s="162">
        <f t="shared" si="0"/>
      </c>
      <c r="H37" s="165"/>
      <c r="I37" s="126" t="s">
        <v>24</v>
      </c>
      <c r="J37" s="130" t="s">
        <v>24</v>
      </c>
      <c r="K37" s="130">
        <v>0.5</v>
      </c>
      <c r="L37" s="132"/>
      <c r="M37" s="127">
        <f t="shared" si="1"/>
      </c>
      <c r="N37" s="165"/>
      <c r="O37" s="126">
        <f>IF(RPA!C36="No Criteria","No Criteria","")</f>
      </c>
    </row>
    <row r="38" spans="1:15" ht="11.25">
      <c r="A38" s="128">
        <v>33</v>
      </c>
      <c r="B38" s="129" t="s">
        <v>48</v>
      </c>
      <c r="C38" s="126" t="s">
        <v>24</v>
      </c>
      <c r="D38" s="130" t="s">
        <v>24</v>
      </c>
      <c r="E38" s="130">
        <v>0.5</v>
      </c>
      <c r="F38" s="144"/>
      <c r="G38" s="162">
        <f t="shared" si="0"/>
      </c>
      <c r="H38" s="165"/>
      <c r="I38" s="126" t="s">
        <v>24</v>
      </c>
      <c r="J38" s="130" t="s">
        <v>24</v>
      </c>
      <c r="K38" s="130">
        <v>0.5</v>
      </c>
      <c r="L38" s="132"/>
      <c r="M38" s="127">
        <f t="shared" si="1"/>
      </c>
      <c r="N38" s="165"/>
      <c r="O38" s="126">
        <f>IF(RPA!C37="No Criteria","No Criteria","")</f>
      </c>
    </row>
    <row r="39" spans="1:15" ht="12.75">
      <c r="A39" s="128">
        <v>34</v>
      </c>
      <c r="B39" s="129" t="s">
        <v>49</v>
      </c>
      <c r="C39" s="126" t="s">
        <v>24</v>
      </c>
      <c r="D39" s="130" t="s">
        <v>24</v>
      </c>
      <c r="E39" s="130">
        <v>0.5</v>
      </c>
      <c r="F39" s="299"/>
      <c r="G39" s="162">
        <f t="shared" si="0"/>
      </c>
      <c r="H39" s="165"/>
      <c r="I39" s="130" t="s">
        <v>24</v>
      </c>
      <c r="J39" s="130" t="s">
        <v>24</v>
      </c>
      <c r="K39" s="130">
        <v>0.5</v>
      </c>
      <c r="L39" s="132"/>
      <c r="M39" s="127">
        <f t="shared" si="1"/>
      </c>
      <c r="N39" s="165"/>
      <c r="O39" s="126">
        <f>IF(RPA!C38="No Criteria","No Criteria","")</f>
      </c>
    </row>
    <row r="40" spans="1:15" ht="11.25">
      <c r="A40" s="128">
        <v>35</v>
      </c>
      <c r="B40" s="129" t="s">
        <v>50</v>
      </c>
      <c r="C40" s="126" t="s">
        <v>24</v>
      </c>
      <c r="D40" s="130" t="s">
        <v>24</v>
      </c>
      <c r="E40" s="130">
        <v>0.5</v>
      </c>
      <c r="F40" s="145"/>
      <c r="G40" s="162">
        <f t="shared" si="0"/>
      </c>
      <c r="H40" s="165"/>
      <c r="I40" s="130" t="s">
        <v>24</v>
      </c>
      <c r="J40" s="130" t="s">
        <v>24</v>
      </c>
      <c r="K40" s="130">
        <v>0.5</v>
      </c>
      <c r="L40" s="132"/>
      <c r="M40" s="127">
        <f t="shared" si="1"/>
      </c>
      <c r="N40" s="165"/>
      <c r="O40" s="126" t="str">
        <f>IF(RPA!C39="No Criteria","No Criteria","")</f>
        <v>No Criteria</v>
      </c>
    </row>
    <row r="41" spans="1:15" ht="12.75">
      <c r="A41" s="128">
        <v>36</v>
      </c>
      <c r="B41" s="129" t="s">
        <v>51</v>
      </c>
      <c r="C41" s="126" t="s">
        <v>24</v>
      </c>
      <c r="D41" s="130" t="s">
        <v>24</v>
      </c>
      <c r="E41" s="130">
        <v>1</v>
      </c>
      <c r="F41" s="300"/>
      <c r="G41" s="162">
        <f t="shared" si="0"/>
      </c>
      <c r="H41" s="165"/>
      <c r="I41" s="126" t="s">
        <v>24</v>
      </c>
      <c r="J41" s="130" t="s">
        <v>24</v>
      </c>
      <c r="K41" s="130">
        <v>1</v>
      </c>
      <c r="L41" s="132"/>
      <c r="M41" s="127">
        <f t="shared" si="1"/>
      </c>
      <c r="N41" s="165"/>
      <c r="O41" s="126">
        <f>IF(RPA!C40="No Criteria","No Criteria","")</f>
      </c>
    </row>
    <row r="42" spans="1:15" ht="11.25">
      <c r="A42" s="128">
        <v>37</v>
      </c>
      <c r="B42" s="129" t="s">
        <v>52</v>
      </c>
      <c r="C42" s="126" t="s">
        <v>24</v>
      </c>
      <c r="D42" s="130" t="s">
        <v>24</v>
      </c>
      <c r="E42" s="130">
        <v>0.5</v>
      </c>
      <c r="F42" s="146"/>
      <c r="G42" s="162">
        <f t="shared" si="0"/>
      </c>
      <c r="H42" s="165"/>
      <c r="I42" s="126" t="s">
        <v>24</v>
      </c>
      <c r="J42" s="130" t="s">
        <v>24</v>
      </c>
      <c r="K42" s="130">
        <v>0.5</v>
      </c>
      <c r="L42" s="132"/>
      <c r="M42" s="127">
        <f t="shared" si="1"/>
      </c>
      <c r="N42" s="165"/>
      <c r="O42" s="126">
        <f>IF(RPA!C41="No Criteria","No Criteria","")</f>
      </c>
    </row>
    <row r="43" spans="1:15" ht="12.75">
      <c r="A43" s="128">
        <v>38</v>
      </c>
      <c r="B43" s="129" t="s">
        <v>53</v>
      </c>
      <c r="C43" s="126" t="s">
        <v>24</v>
      </c>
      <c r="D43" s="130" t="s">
        <v>24</v>
      </c>
      <c r="E43" s="130">
        <v>0.5</v>
      </c>
      <c r="F43" s="113"/>
      <c r="G43" s="162">
        <f t="shared" si="0"/>
      </c>
      <c r="H43" s="165"/>
      <c r="I43" s="126" t="s">
        <v>24</v>
      </c>
      <c r="J43" s="130" t="s">
        <v>24</v>
      </c>
      <c r="K43" s="130">
        <v>0.5</v>
      </c>
      <c r="L43" s="132"/>
      <c r="M43" s="127">
        <f t="shared" si="1"/>
      </c>
      <c r="N43" s="165"/>
      <c r="O43" s="126">
        <f>IF(RPA!C42="No Criteria","No Criteria","")</f>
      </c>
    </row>
    <row r="44" spans="1:15" ht="12.75">
      <c r="A44" s="128">
        <v>39</v>
      </c>
      <c r="B44" s="129" t="s">
        <v>54</v>
      </c>
      <c r="C44" s="126" t="s">
        <v>24</v>
      </c>
      <c r="D44" s="130" t="s">
        <v>24</v>
      </c>
      <c r="E44" s="130">
        <v>0.5</v>
      </c>
      <c r="F44" s="299"/>
      <c r="G44" s="162">
        <f t="shared" si="0"/>
      </c>
      <c r="H44" s="165"/>
      <c r="I44" s="126" t="s">
        <v>24</v>
      </c>
      <c r="J44" s="130" t="s">
        <v>24</v>
      </c>
      <c r="K44" s="130">
        <v>0.5</v>
      </c>
      <c r="L44" s="132"/>
      <c r="M44" s="127">
        <f t="shared" si="1"/>
      </c>
      <c r="N44" s="165"/>
      <c r="O44" s="126">
        <f>IF(RPA!C43="No Criteria","No Criteria","")</f>
      </c>
    </row>
    <row r="45" spans="1:15" ht="11.25">
      <c r="A45" s="128">
        <v>40</v>
      </c>
      <c r="B45" s="129" t="s">
        <v>55</v>
      </c>
      <c r="C45" s="126" t="s">
        <v>24</v>
      </c>
      <c r="D45" s="130" t="s">
        <v>24</v>
      </c>
      <c r="E45" s="130">
        <v>0.5</v>
      </c>
      <c r="F45" s="146"/>
      <c r="G45" s="162">
        <f t="shared" si="0"/>
      </c>
      <c r="H45" s="165"/>
      <c r="I45" s="126" t="s">
        <v>24</v>
      </c>
      <c r="J45" s="130" t="s">
        <v>24</v>
      </c>
      <c r="K45" s="130">
        <v>0.5</v>
      </c>
      <c r="L45" s="132"/>
      <c r="M45" s="127">
        <f t="shared" si="1"/>
      </c>
      <c r="N45" s="165"/>
      <c r="O45" s="126">
        <f>IF(RPA!C44="No Criteria","No Criteria","")</f>
      </c>
    </row>
    <row r="46" spans="1:15" ht="11.25">
      <c r="A46" s="128">
        <v>41</v>
      </c>
      <c r="B46" s="129" t="s">
        <v>56</v>
      </c>
      <c r="C46" s="126" t="s">
        <v>24</v>
      </c>
      <c r="D46" s="130" t="s">
        <v>24</v>
      </c>
      <c r="E46" s="130">
        <v>0.5</v>
      </c>
      <c r="F46" s="145"/>
      <c r="G46" s="162">
        <f t="shared" si="0"/>
      </c>
      <c r="H46" s="165"/>
      <c r="I46" s="126" t="s">
        <v>24</v>
      </c>
      <c r="J46" s="130" t="s">
        <v>24</v>
      </c>
      <c r="K46" s="130">
        <v>0.5</v>
      </c>
      <c r="L46" s="132"/>
      <c r="M46" s="127">
        <f t="shared" si="1"/>
      </c>
      <c r="N46" s="165"/>
      <c r="O46" s="126" t="str">
        <f>IF(RPA!C45="No Criteria","No Criteria","")</f>
        <v>No Criteria</v>
      </c>
    </row>
    <row r="47" spans="1:15" ht="11.25">
      <c r="A47" s="128">
        <v>42</v>
      </c>
      <c r="B47" s="129" t="s">
        <v>57</v>
      </c>
      <c r="C47" s="126" t="s">
        <v>24</v>
      </c>
      <c r="D47" s="130" t="s">
        <v>24</v>
      </c>
      <c r="E47" s="130">
        <v>0.5</v>
      </c>
      <c r="F47" s="146"/>
      <c r="G47" s="162">
        <f t="shared" si="0"/>
      </c>
      <c r="H47" s="165"/>
      <c r="I47" s="126" t="s">
        <v>24</v>
      </c>
      <c r="J47" s="130" t="s">
        <v>24</v>
      </c>
      <c r="K47" s="130">
        <v>0.5</v>
      </c>
      <c r="L47" s="132"/>
      <c r="M47" s="127">
        <f t="shared" si="1"/>
      </c>
      <c r="N47" s="165"/>
      <c r="O47" s="126">
        <f>IF(RPA!C46="No Criteria","No Criteria","")</f>
      </c>
    </row>
    <row r="48" spans="1:15" ht="11.25">
      <c r="A48" s="128">
        <v>43</v>
      </c>
      <c r="B48" s="129" t="s">
        <v>58</v>
      </c>
      <c r="C48" s="126" t="s">
        <v>24</v>
      </c>
      <c r="D48" s="130" t="s">
        <v>24</v>
      </c>
      <c r="E48" s="130">
        <v>0.5</v>
      </c>
      <c r="F48" s="146"/>
      <c r="G48" s="162">
        <f t="shared" si="0"/>
      </c>
      <c r="H48" s="165"/>
      <c r="I48" s="126" t="s">
        <v>24</v>
      </c>
      <c r="J48" s="130" t="s">
        <v>24</v>
      </c>
      <c r="K48" s="130">
        <v>0.5</v>
      </c>
      <c r="L48" s="132"/>
      <c r="M48" s="127">
        <f t="shared" si="1"/>
      </c>
      <c r="N48" s="165"/>
      <c r="O48" s="126">
        <f>IF(RPA!C47="No Criteria","No Criteria","")</f>
      </c>
    </row>
    <row r="49" spans="1:15" ht="11.25">
      <c r="A49" s="128">
        <v>44</v>
      </c>
      <c r="B49" s="129" t="s">
        <v>59</v>
      </c>
      <c r="C49" s="126" t="s">
        <v>24</v>
      </c>
      <c r="D49" s="130" t="s">
        <v>24</v>
      </c>
      <c r="E49" s="130">
        <v>0.5</v>
      </c>
      <c r="F49" s="146"/>
      <c r="G49" s="162">
        <f t="shared" si="0"/>
      </c>
      <c r="H49" s="165"/>
      <c r="I49" s="126" t="s">
        <v>24</v>
      </c>
      <c r="J49" s="130" t="s">
        <v>24</v>
      </c>
      <c r="K49" s="130">
        <v>0.5</v>
      </c>
      <c r="L49" s="132"/>
      <c r="M49" s="127">
        <f t="shared" si="1"/>
      </c>
      <c r="N49" s="165"/>
      <c r="O49" s="126">
        <f>IF(RPA!C48="No Criteria","No Criteria","")</f>
      </c>
    </row>
    <row r="50" spans="1:15" ht="11.25">
      <c r="A50" s="128">
        <v>45</v>
      </c>
      <c r="B50" s="129" t="s">
        <v>60</v>
      </c>
      <c r="C50" s="126" t="s">
        <v>24</v>
      </c>
      <c r="D50" s="130" t="s">
        <v>24</v>
      </c>
      <c r="E50" s="130">
        <v>1</v>
      </c>
      <c r="F50" s="146"/>
      <c r="G50" s="162">
        <f t="shared" si="0"/>
      </c>
      <c r="H50" s="165"/>
      <c r="I50" s="126" t="s">
        <v>24</v>
      </c>
      <c r="J50" s="130" t="s">
        <v>24</v>
      </c>
      <c r="K50" s="130">
        <v>1</v>
      </c>
      <c r="L50" s="132"/>
      <c r="M50" s="127">
        <f t="shared" si="1"/>
      </c>
      <c r="N50" s="165"/>
      <c r="O50" s="126">
        <f>IF(RPA!C49="No Criteria","No Criteria","")</f>
      </c>
    </row>
    <row r="51" spans="1:15" ht="11.25">
      <c r="A51" s="128">
        <v>46</v>
      </c>
      <c r="B51" s="129" t="s">
        <v>61</v>
      </c>
      <c r="C51" s="126" t="s">
        <v>24</v>
      </c>
      <c r="D51" s="130" t="s">
        <v>24</v>
      </c>
      <c r="E51" s="130">
        <v>1</v>
      </c>
      <c r="F51" s="146"/>
      <c r="G51" s="162">
        <f t="shared" si="0"/>
      </c>
      <c r="H51" s="165"/>
      <c r="I51" s="126" t="s">
        <v>24</v>
      </c>
      <c r="J51" s="130" t="s">
        <v>24</v>
      </c>
      <c r="K51" s="130">
        <v>1</v>
      </c>
      <c r="L51" s="132"/>
      <c r="M51" s="127">
        <f t="shared" si="1"/>
      </c>
      <c r="N51" s="165"/>
      <c r="O51" s="126">
        <f>IF(RPA!C50="No Criteria","No Criteria","")</f>
      </c>
    </row>
    <row r="52" spans="1:15" ht="11.25">
      <c r="A52" s="128">
        <v>47</v>
      </c>
      <c r="B52" s="129" t="s">
        <v>62</v>
      </c>
      <c r="C52" s="126" t="s">
        <v>24</v>
      </c>
      <c r="D52" s="130" t="s">
        <v>24</v>
      </c>
      <c r="E52" s="130">
        <v>1</v>
      </c>
      <c r="F52" s="146"/>
      <c r="G52" s="162">
        <f t="shared" si="0"/>
      </c>
      <c r="H52" s="165"/>
      <c r="I52" s="126" t="s">
        <v>24</v>
      </c>
      <c r="J52" s="130" t="s">
        <v>24</v>
      </c>
      <c r="K52" s="130">
        <v>1</v>
      </c>
      <c r="L52" s="132"/>
      <c r="M52" s="127">
        <f t="shared" si="1"/>
      </c>
      <c r="N52" s="165"/>
      <c r="O52" s="126">
        <f>IF(RPA!C51="No Criteria","No Criteria","")</f>
      </c>
    </row>
    <row r="53" spans="1:15" ht="11.25">
      <c r="A53" s="128">
        <v>48</v>
      </c>
      <c r="B53" s="129" t="s">
        <v>63</v>
      </c>
      <c r="C53" s="126" t="s">
        <v>24</v>
      </c>
      <c r="D53" s="130" t="s">
        <v>24</v>
      </c>
      <c r="E53" s="130">
        <v>1</v>
      </c>
      <c r="F53" s="146"/>
      <c r="G53" s="162">
        <f t="shared" si="0"/>
      </c>
      <c r="H53" s="165"/>
      <c r="I53" s="126" t="s">
        <v>24</v>
      </c>
      <c r="J53" s="130" t="s">
        <v>24</v>
      </c>
      <c r="K53" s="130">
        <v>1</v>
      </c>
      <c r="L53" s="132"/>
      <c r="M53" s="127">
        <f t="shared" si="1"/>
      </c>
      <c r="N53" s="165"/>
      <c r="O53" s="126">
        <f>IF(RPA!C52="No Criteria","No Criteria","")</f>
      </c>
    </row>
    <row r="54" spans="1:15" ht="11.25">
      <c r="A54" s="128">
        <v>49</v>
      </c>
      <c r="B54" s="129" t="s">
        <v>64</v>
      </c>
      <c r="C54" s="126" t="s">
        <v>24</v>
      </c>
      <c r="D54" s="130" t="s">
        <v>24</v>
      </c>
      <c r="E54" s="130">
        <v>2</v>
      </c>
      <c r="F54" s="146"/>
      <c r="G54" s="162">
        <f t="shared" si="0"/>
      </c>
      <c r="H54" s="165"/>
      <c r="I54" s="126" t="s">
        <v>24</v>
      </c>
      <c r="J54" s="130" t="s">
        <v>24</v>
      </c>
      <c r="K54" s="130">
        <v>2</v>
      </c>
      <c r="L54" s="132"/>
      <c r="M54" s="127">
        <f t="shared" si="1"/>
      </c>
      <c r="N54" s="165"/>
      <c r="O54" s="126">
        <f>IF(RPA!C53="No Criteria","No Criteria","")</f>
      </c>
    </row>
    <row r="55" spans="1:15" ht="11.25">
      <c r="A55" s="128">
        <v>50</v>
      </c>
      <c r="B55" s="129" t="s">
        <v>65</v>
      </c>
      <c r="C55" s="126" t="s">
        <v>24</v>
      </c>
      <c r="D55" s="130" t="s">
        <v>24</v>
      </c>
      <c r="E55" s="130">
        <v>1</v>
      </c>
      <c r="F55" s="147"/>
      <c r="G55" s="162">
        <f t="shared" si="0"/>
      </c>
      <c r="H55" s="165"/>
      <c r="I55" s="126" t="s">
        <v>24</v>
      </c>
      <c r="J55" s="130" t="s">
        <v>24</v>
      </c>
      <c r="K55" s="130">
        <v>1</v>
      </c>
      <c r="L55" s="132"/>
      <c r="M55" s="127">
        <f t="shared" si="1"/>
      </c>
      <c r="N55" s="165"/>
      <c r="O55" s="126" t="str">
        <f>IF(RPA!C54="No Criteria","No Criteria","")</f>
        <v>No Criteria</v>
      </c>
    </row>
    <row r="56" spans="1:15" ht="11.25">
      <c r="A56" s="128">
        <v>51</v>
      </c>
      <c r="B56" s="129" t="s">
        <v>66</v>
      </c>
      <c r="C56" s="126" t="s">
        <v>24</v>
      </c>
      <c r="D56" s="130" t="s">
        <v>24</v>
      </c>
      <c r="E56" s="130">
        <v>2</v>
      </c>
      <c r="F56" s="145"/>
      <c r="G56" s="162">
        <f t="shared" si="0"/>
      </c>
      <c r="H56" s="165"/>
      <c r="I56" s="126" t="s">
        <v>24</v>
      </c>
      <c r="J56" s="130" t="s">
        <v>24</v>
      </c>
      <c r="K56" s="130">
        <v>2</v>
      </c>
      <c r="L56" s="132"/>
      <c r="M56" s="127">
        <f t="shared" si="1"/>
      </c>
      <c r="N56" s="165"/>
      <c r="O56" s="126" t="str">
        <f>IF(RPA!C55="No Criteria","No Criteria","")</f>
        <v>No Criteria</v>
      </c>
    </row>
    <row r="57" spans="1:15" ht="11.25">
      <c r="A57" s="128">
        <v>52</v>
      </c>
      <c r="B57" s="129" t="s">
        <v>67</v>
      </c>
      <c r="C57" s="126" t="s">
        <v>24</v>
      </c>
      <c r="D57" s="130" t="s">
        <v>24</v>
      </c>
      <c r="E57" s="130">
        <v>0.5</v>
      </c>
      <c r="F57" s="142"/>
      <c r="G57" s="162">
        <f t="shared" si="0"/>
      </c>
      <c r="H57" s="165"/>
      <c r="I57" s="126" t="s">
        <v>24</v>
      </c>
      <c r="J57" s="130" t="s">
        <v>24</v>
      </c>
      <c r="K57" s="130">
        <v>0.5</v>
      </c>
      <c r="L57" s="132"/>
      <c r="M57" s="127">
        <f t="shared" si="1"/>
      </c>
      <c r="N57" s="165"/>
      <c r="O57" s="126" t="str">
        <f>IF(RPA!C56="No Criteria","No Criteria","")</f>
        <v>No Criteria</v>
      </c>
    </row>
    <row r="58" spans="1:15" ht="11.25">
      <c r="A58" s="128">
        <v>53</v>
      </c>
      <c r="B58" s="129" t="s">
        <v>68</v>
      </c>
      <c r="C58" s="126" t="s">
        <v>24</v>
      </c>
      <c r="D58" s="130" t="s">
        <v>24</v>
      </c>
      <c r="E58" s="130">
        <v>1</v>
      </c>
      <c r="F58" s="145"/>
      <c r="G58" s="162">
        <f t="shared" si="0"/>
      </c>
      <c r="H58" s="165"/>
      <c r="I58" s="126" t="s">
        <v>24</v>
      </c>
      <c r="J58" s="130" t="s">
        <v>24</v>
      </c>
      <c r="K58" s="130">
        <v>1</v>
      </c>
      <c r="L58" s="132"/>
      <c r="M58" s="127">
        <f t="shared" si="1"/>
      </c>
      <c r="N58" s="165"/>
      <c r="O58" s="126">
        <f>IF(RPA!C57="No Criteria","No Criteria","")</f>
      </c>
    </row>
    <row r="59" spans="1:15" ht="11.25">
      <c r="A59" s="128">
        <v>54</v>
      </c>
      <c r="B59" s="129" t="s">
        <v>69</v>
      </c>
      <c r="C59" s="126" t="s">
        <v>24</v>
      </c>
      <c r="D59" s="130" t="s">
        <v>25</v>
      </c>
      <c r="E59" s="130"/>
      <c r="F59" s="390">
        <v>0.061</v>
      </c>
      <c r="G59" s="162">
        <f t="shared" si="0"/>
      </c>
      <c r="H59" s="165"/>
      <c r="I59" s="126" t="s">
        <v>24</v>
      </c>
      <c r="J59" s="130" t="s">
        <v>24</v>
      </c>
      <c r="K59" s="130">
        <v>0.5</v>
      </c>
      <c r="L59" s="132"/>
      <c r="M59" s="127">
        <f t="shared" si="1"/>
      </c>
      <c r="N59" s="165"/>
      <c r="O59" s="126">
        <f>IF(RPA!C58="No Criteria","No Criteria","")</f>
      </c>
    </row>
    <row r="60" spans="1:15" ht="11.25">
      <c r="A60" s="128">
        <v>55</v>
      </c>
      <c r="B60" s="129" t="s">
        <v>70</v>
      </c>
      <c r="C60" s="126" t="s">
        <v>24</v>
      </c>
      <c r="D60" s="130" t="s">
        <v>24</v>
      </c>
      <c r="E60" s="130">
        <v>1</v>
      </c>
      <c r="F60" s="146"/>
      <c r="G60" s="162">
        <f t="shared" si="0"/>
      </c>
      <c r="H60" s="165"/>
      <c r="I60" s="126" t="s">
        <v>24</v>
      </c>
      <c r="J60" s="130" t="s">
        <v>24</v>
      </c>
      <c r="K60" s="130">
        <v>1</v>
      </c>
      <c r="L60" s="132"/>
      <c r="M60" s="127">
        <f t="shared" si="1"/>
      </c>
      <c r="N60" s="165"/>
      <c r="O60" s="126">
        <f>IF(RPA!C59="No Criteria","No Criteria","")</f>
      </c>
    </row>
    <row r="61" spans="1:15" ht="11.25">
      <c r="A61" s="128">
        <v>56</v>
      </c>
      <c r="B61" s="129" t="s">
        <v>71</v>
      </c>
      <c r="C61" s="126" t="s">
        <v>24</v>
      </c>
      <c r="D61" s="130" t="s">
        <v>24</v>
      </c>
      <c r="E61" s="130">
        <v>0.5</v>
      </c>
      <c r="F61" s="148"/>
      <c r="G61" s="162">
        <f t="shared" si="0"/>
      </c>
      <c r="H61" s="165"/>
      <c r="I61" s="126" t="s">
        <v>24</v>
      </c>
      <c r="J61" s="130" t="s">
        <v>24</v>
      </c>
      <c r="K61" s="130">
        <v>0.5</v>
      </c>
      <c r="L61" s="132"/>
      <c r="M61" s="127">
        <f t="shared" si="1"/>
      </c>
      <c r="N61" s="165"/>
      <c r="O61" s="126">
        <f>IF(RPA!C60="No Criteria","No Criteria","")</f>
      </c>
    </row>
    <row r="62" spans="1:15" ht="11.25">
      <c r="A62" s="128">
        <v>57</v>
      </c>
      <c r="B62" s="129" t="s">
        <v>72</v>
      </c>
      <c r="C62" s="126" t="s">
        <v>24</v>
      </c>
      <c r="D62" s="130" t="s">
        <v>24</v>
      </c>
      <c r="E62" s="130">
        <v>0.5</v>
      </c>
      <c r="F62" s="145"/>
      <c r="G62" s="162">
        <f t="shared" si="0"/>
      </c>
      <c r="H62" s="165"/>
      <c r="I62" s="126" t="s">
        <v>24</v>
      </c>
      <c r="J62" s="130" t="s">
        <v>24</v>
      </c>
      <c r="K62" s="130">
        <v>1</v>
      </c>
      <c r="L62" s="132"/>
      <c r="M62" s="127">
        <f t="shared" si="1"/>
      </c>
      <c r="N62" s="165"/>
      <c r="O62" s="126" t="str">
        <f>IF(RPA!C61="No Criteria","No Criteria","")</f>
        <v>No Criteria</v>
      </c>
    </row>
    <row r="63" spans="1:15" ht="11.25">
      <c r="A63" s="128">
        <v>58</v>
      </c>
      <c r="B63" s="129" t="s">
        <v>73</v>
      </c>
      <c r="C63" s="126" t="s">
        <v>24</v>
      </c>
      <c r="D63" s="130" t="s">
        <v>24</v>
      </c>
      <c r="E63" s="130">
        <v>1</v>
      </c>
      <c r="F63" s="146"/>
      <c r="G63" s="162">
        <f t="shared" si="0"/>
      </c>
      <c r="H63" s="165"/>
      <c r="I63" s="126" t="s">
        <v>24</v>
      </c>
      <c r="J63" s="130" t="s">
        <v>24</v>
      </c>
      <c r="K63" s="130">
        <v>1</v>
      </c>
      <c r="L63" s="132"/>
      <c r="M63" s="127">
        <f t="shared" si="1"/>
      </c>
      <c r="N63" s="165"/>
      <c r="O63" s="126">
        <f>IF(RPA!C62="No Criteria","No Criteria","")</f>
      </c>
    </row>
    <row r="64" spans="1:15" ht="11.25">
      <c r="A64" s="128">
        <v>59</v>
      </c>
      <c r="B64" s="129" t="s">
        <v>74</v>
      </c>
      <c r="C64" s="126" t="s">
        <v>24</v>
      </c>
      <c r="D64" s="130" t="s">
        <v>24</v>
      </c>
      <c r="E64" s="130">
        <v>1</v>
      </c>
      <c r="F64" s="145"/>
      <c r="G64" s="162">
        <f t="shared" si="0"/>
      </c>
      <c r="H64" s="165"/>
      <c r="I64" s="126" t="s">
        <v>24</v>
      </c>
      <c r="J64" s="130" t="s">
        <v>24</v>
      </c>
      <c r="K64" s="130">
        <v>1</v>
      </c>
      <c r="L64" s="132"/>
      <c r="M64" s="127">
        <f t="shared" si="1"/>
      </c>
      <c r="N64" s="165"/>
      <c r="O64" s="126">
        <f>IF(RPA!C63="No Criteria","No Criteria","")</f>
      </c>
    </row>
    <row r="65" spans="1:15" ht="11.25">
      <c r="A65" s="128">
        <v>60</v>
      </c>
      <c r="B65" s="129" t="s">
        <v>75</v>
      </c>
      <c r="C65" s="126" t="s">
        <v>24</v>
      </c>
      <c r="D65" s="130" t="s">
        <v>24</v>
      </c>
      <c r="E65" s="130">
        <v>1</v>
      </c>
      <c r="F65" s="147"/>
      <c r="G65" s="162">
        <f t="shared" si="0"/>
      </c>
      <c r="H65" s="165"/>
      <c r="I65" s="126" t="s">
        <v>24</v>
      </c>
      <c r="J65" s="130" t="s">
        <v>24</v>
      </c>
      <c r="K65" s="130">
        <v>1</v>
      </c>
      <c r="L65" s="132"/>
      <c r="M65" s="127">
        <f t="shared" si="1"/>
      </c>
      <c r="N65" s="165"/>
      <c r="O65" s="126">
        <f>IF(RPA!C64="No Criteria","No Criteria","")</f>
      </c>
    </row>
    <row r="66" spans="1:15" ht="11.25">
      <c r="A66" s="128">
        <v>61</v>
      </c>
      <c r="B66" s="129" t="s">
        <v>76</v>
      </c>
      <c r="C66" s="126" t="s">
        <v>24</v>
      </c>
      <c r="D66" s="130" t="s">
        <v>24</v>
      </c>
      <c r="E66" s="130">
        <v>1</v>
      </c>
      <c r="F66" s="147"/>
      <c r="G66" s="162">
        <f t="shared" si="0"/>
      </c>
      <c r="H66" s="165"/>
      <c r="I66" s="126" t="s">
        <v>24</v>
      </c>
      <c r="J66" s="130" t="s">
        <v>24</v>
      </c>
      <c r="K66" s="130">
        <v>1</v>
      </c>
      <c r="L66" s="132"/>
      <c r="M66" s="127">
        <f t="shared" si="1"/>
      </c>
      <c r="N66" s="165"/>
      <c r="O66" s="126">
        <f>IF(RPA!C65="No Criteria","No Criteria","")</f>
      </c>
    </row>
    <row r="67" spans="1:15" ht="11.25">
      <c r="A67" s="128">
        <v>62</v>
      </c>
      <c r="B67" s="129" t="s">
        <v>77</v>
      </c>
      <c r="C67" s="126" t="s">
        <v>24</v>
      </c>
      <c r="D67" s="130" t="s">
        <v>24</v>
      </c>
      <c r="E67" s="130">
        <v>1</v>
      </c>
      <c r="F67" s="147"/>
      <c r="G67" s="162">
        <f t="shared" si="0"/>
      </c>
      <c r="H67" s="165"/>
      <c r="I67" s="126" t="s">
        <v>24</v>
      </c>
      <c r="J67" s="130" t="s">
        <v>24</v>
      </c>
      <c r="K67" s="130">
        <v>1</v>
      </c>
      <c r="L67" s="132"/>
      <c r="M67" s="127">
        <f t="shared" si="1"/>
      </c>
      <c r="N67" s="165"/>
      <c r="O67" s="126">
        <f>IF(RPA!C66="No Criteria","No Criteria","")</f>
      </c>
    </row>
    <row r="68" spans="1:15" ht="11.25">
      <c r="A68" s="128">
        <v>63</v>
      </c>
      <c r="B68" s="129" t="s">
        <v>78</v>
      </c>
      <c r="C68" s="126" t="s">
        <v>24</v>
      </c>
      <c r="D68" s="130" t="s">
        <v>24</v>
      </c>
      <c r="E68" s="130">
        <v>1</v>
      </c>
      <c r="F68" s="147"/>
      <c r="G68" s="162">
        <f t="shared" si="0"/>
      </c>
      <c r="H68" s="165"/>
      <c r="I68" s="126" t="s">
        <v>24</v>
      </c>
      <c r="J68" s="130" t="s">
        <v>24</v>
      </c>
      <c r="K68" s="130">
        <v>1</v>
      </c>
      <c r="L68" s="132"/>
      <c r="M68" s="127">
        <f t="shared" si="1"/>
      </c>
      <c r="N68" s="165"/>
      <c r="O68" s="126" t="str">
        <f>IF(RPA!C67="No Criteria","No Criteria","")</f>
        <v>No Criteria</v>
      </c>
    </row>
    <row r="69" spans="1:15" ht="11.25">
      <c r="A69" s="128">
        <v>64</v>
      </c>
      <c r="B69" s="129" t="s">
        <v>79</v>
      </c>
      <c r="C69" s="126" t="s">
        <v>24</v>
      </c>
      <c r="D69" s="130" t="s">
        <v>24</v>
      </c>
      <c r="E69" s="130">
        <v>2</v>
      </c>
      <c r="F69" s="147"/>
      <c r="G69" s="162">
        <f t="shared" si="0"/>
      </c>
      <c r="H69" s="165"/>
      <c r="I69" s="126" t="s">
        <v>24</v>
      </c>
      <c r="J69" s="130" t="s">
        <v>24</v>
      </c>
      <c r="K69" s="130">
        <v>2</v>
      </c>
      <c r="L69" s="132"/>
      <c r="M69" s="127">
        <f t="shared" si="1"/>
      </c>
      <c r="N69" s="165"/>
      <c r="O69" s="126">
        <f>IF(RPA!C68="No Criteria","No Criteria","")</f>
      </c>
    </row>
    <row r="70" spans="1:15" ht="11.25">
      <c r="A70" s="128">
        <v>65</v>
      </c>
      <c r="B70" s="129" t="s">
        <v>80</v>
      </c>
      <c r="C70" s="126" t="s">
        <v>24</v>
      </c>
      <c r="D70" s="130" t="s">
        <v>24</v>
      </c>
      <c r="E70" s="130">
        <v>1</v>
      </c>
      <c r="F70" s="145"/>
      <c r="G70" s="162">
        <f aca="true" t="shared" si="2" ref="G70:G127">IF(C70="","Check input",IF(C70="Y",IF(D70="","Check input",IF(D70="Y",IF(E70="","Check input",IF(F70="","","Check input")),IF(E70="",IF(F70="","Check input",""),"Check input"))),IF(D70="",IF(E70="",IF(F70="","","Check input"),"Check input"),"Check input")))</f>
      </c>
      <c r="H70" s="165"/>
      <c r="I70" s="126" t="s">
        <v>24</v>
      </c>
      <c r="J70" s="130" t="s">
        <v>24</v>
      </c>
      <c r="K70" s="130">
        <v>1</v>
      </c>
      <c r="L70" s="132"/>
      <c r="M70" s="127">
        <f aca="true" t="shared" si="3" ref="M70:M126">IF(I70="","Check input",IF(I70="Y",IF(J70="","Check input",IF(J70="Y",IF(K70="","Check input",IF(L70="","","Check input")),IF(K70="",IF(L70="","Check input",""),"Check input"))),IF(J70="",IF(K70="",IF(L70="","","Check input"),"Check input"),"Check input")))</f>
      </c>
      <c r="N70" s="165"/>
      <c r="O70" s="126" t="str">
        <f>IF(RPA!C69="No Criteria","No Criteria","")</f>
        <v>No Criteria</v>
      </c>
    </row>
    <row r="71" spans="1:15" ht="11.25">
      <c r="A71" s="128">
        <v>66</v>
      </c>
      <c r="B71" s="129" t="s">
        <v>81</v>
      </c>
      <c r="C71" s="126" t="s">
        <v>24</v>
      </c>
      <c r="D71" s="130" t="s">
        <v>24</v>
      </c>
      <c r="E71" s="130">
        <v>0.5</v>
      </c>
      <c r="F71" s="145"/>
      <c r="G71" s="162">
        <f t="shared" si="2"/>
      </c>
      <c r="H71" s="165"/>
      <c r="I71" s="126" t="s">
        <v>24</v>
      </c>
      <c r="J71" s="130" t="s">
        <v>24</v>
      </c>
      <c r="K71" s="130">
        <v>0.5</v>
      </c>
      <c r="L71" s="132"/>
      <c r="M71" s="127">
        <f t="shared" si="3"/>
      </c>
      <c r="N71" s="165"/>
      <c r="O71" s="126">
        <f>IF(RPA!C70="No Criteria","No Criteria","")</f>
      </c>
    </row>
    <row r="72" spans="1:15" ht="11.25">
      <c r="A72" s="128">
        <v>67</v>
      </c>
      <c r="B72" s="129" t="s">
        <v>82</v>
      </c>
      <c r="C72" s="126" t="s">
        <v>24</v>
      </c>
      <c r="D72" s="130" t="s">
        <v>24</v>
      </c>
      <c r="E72" s="130">
        <v>0.5</v>
      </c>
      <c r="F72" s="146"/>
      <c r="G72" s="162">
        <f t="shared" si="2"/>
      </c>
      <c r="H72" s="165"/>
      <c r="I72" s="126" t="s">
        <v>24</v>
      </c>
      <c r="J72" s="130" t="s">
        <v>24</v>
      </c>
      <c r="K72" s="130">
        <v>0.5</v>
      </c>
      <c r="L72" s="132"/>
      <c r="M72" s="127">
        <f t="shared" si="3"/>
      </c>
      <c r="N72" s="165"/>
      <c r="O72" s="126">
        <f>IF(RPA!C71="No Criteria","No Criteria","")</f>
      </c>
    </row>
    <row r="73" spans="1:15" ht="11.25">
      <c r="A73" s="128">
        <v>68</v>
      </c>
      <c r="B73" s="129" t="s">
        <v>83</v>
      </c>
      <c r="C73" s="126" t="s">
        <v>24</v>
      </c>
      <c r="D73" s="130" t="s">
        <v>24</v>
      </c>
      <c r="E73" s="130">
        <v>2</v>
      </c>
      <c r="F73" s="126"/>
      <c r="G73" s="162">
        <f t="shared" si="2"/>
      </c>
      <c r="H73" s="165"/>
      <c r="I73" s="126" t="s">
        <v>24</v>
      </c>
      <c r="J73" s="130" t="s">
        <v>25</v>
      </c>
      <c r="K73" s="130"/>
      <c r="L73" s="132">
        <v>7</v>
      </c>
      <c r="M73" s="127">
        <f t="shared" si="3"/>
      </c>
      <c r="N73" s="165"/>
      <c r="O73" s="126">
        <f>IF(RPA!C72="No Criteria","No Criteria","")</f>
      </c>
    </row>
    <row r="74" spans="1:15" ht="11.25">
      <c r="A74" s="128">
        <v>69</v>
      </c>
      <c r="B74" s="129" t="s">
        <v>84</v>
      </c>
      <c r="C74" s="126" t="s">
        <v>24</v>
      </c>
      <c r="D74" s="130" t="s">
        <v>24</v>
      </c>
      <c r="E74" s="130">
        <v>1</v>
      </c>
      <c r="F74" s="145"/>
      <c r="G74" s="162">
        <f t="shared" si="2"/>
      </c>
      <c r="H74" s="165"/>
      <c r="I74" s="126" t="s">
        <v>24</v>
      </c>
      <c r="J74" s="130" t="s">
        <v>24</v>
      </c>
      <c r="K74" s="130">
        <v>1</v>
      </c>
      <c r="L74" s="132"/>
      <c r="M74" s="127">
        <f t="shared" si="3"/>
      </c>
      <c r="N74" s="165"/>
      <c r="O74" s="126" t="str">
        <f>IF(RPA!C73="No Criteria","No Criteria","")</f>
        <v>No Criteria</v>
      </c>
    </row>
    <row r="75" spans="1:15" ht="11.25">
      <c r="A75" s="128">
        <v>70</v>
      </c>
      <c r="B75" s="129" t="s">
        <v>85</v>
      </c>
      <c r="C75" s="126" t="s">
        <v>24</v>
      </c>
      <c r="D75" s="130" t="s">
        <v>24</v>
      </c>
      <c r="E75" s="130">
        <v>1</v>
      </c>
      <c r="F75" s="146"/>
      <c r="G75" s="162">
        <f t="shared" si="2"/>
      </c>
      <c r="H75" s="165"/>
      <c r="I75" s="126" t="s">
        <v>24</v>
      </c>
      <c r="J75" s="130" t="s">
        <v>24</v>
      </c>
      <c r="K75" s="130">
        <v>5</v>
      </c>
      <c r="L75" s="132"/>
      <c r="M75" s="127">
        <f t="shared" si="3"/>
      </c>
      <c r="N75" s="165"/>
      <c r="O75" s="126">
        <f>IF(RPA!C74="No Criteria","No Criteria","")</f>
      </c>
    </row>
    <row r="76" spans="1:15" ht="11.25">
      <c r="A76" s="128">
        <v>71</v>
      </c>
      <c r="B76" s="129" t="s">
        <v>86</v>
      </c>
      <c r="C76" s="126" t="s">
        <v>25</v>
      </c>
      <c r="D76" s="130"/>
      <c r="E76" s="130"/>
      <c r="F76" s="146"/>
      <c r="G76" s="162">
        <f t="shared" si="2"/>
      </c>
      <c r="H76" s="165"/>
      <c r="I76" s="126" t="s">
        <v>24</v>
      </c>
      <c r="J76" s="130" t="s">
        <v>24</v>
      </c>
      <c r="K76" s="130">
        <v>1</v>
      </c>
      <c r="L76" s="132"/>
      <c r="M76" s="127">
        <f t="shared" si="3"/>
      </c>
      <c r="N76" s="165"/>
      <c r="O76" s="126">
        <f>IF(RPA!C75="No Criteria","No Criteria","")</f>
      </c>
    </row>
    <row r="77" spans="1:15" ht="11.25">
      <c r="A77" s="128">
        <v>72</v>
      </c>
      <c r="B77" s="129" t="s">
        <v>87</v>
      </c>
      <c r="C77" s="126" t="s">
        <v>24</v>
      </c>
      <c r="D77" s="130" t="s">
        <v>24</v>
      </c>
      <c r="E77" s="130">
        <v>1</v>
      </c>
      <c r="F77" s="145"/>
      <c r="G77" s="162">
        <f t="shared" si="2"/>
      </c>
      <c r="H77" s="165"/>
      <c r="I77" s="126" t="s">
        <v>24</v>
      </c>
      <c r="J77" s="130" t="s">
        <v>24</v>
      </c>
      <c r="K77" s="130">
        <v>1</v>
      </c>
      <c r="L77" s="132"/>
      <c r="M77" s="127">
        <f t="shared" si="3"/>
      </c>
      <c r="N77" s="165"/>
      <c r="O77" s="126" t="str">
        <f>IF(RPA!C76="No Criteria","No Criteria","")</f>
        <v>No Criteria</v>
      </c>
    </row>
    <row r="78" spans="1:15" ht="11.25">
      <c r="A78" s="128">
        <v>73</v>
      </c>
      <c r="B78" s="129" t="s">
        <v>88</v>
      </c>
      <c r="C78" s="126" t="s">
        <v>24</v>
      </c>
      <c r="D78" s="130" t="s">
        <v>24</v>
      </c>
      <c r="E78" s="130">
        <v>1</v>
      </c>
      <c r="F78" s="147"/>
      <c r="G78" s="162">
        <f t="shared" si="2"/>
      </c>
      <c r="H78" s="165"/>
      <c r="I78" s="126" t="s">
        <v>24</v>
      </c>
      <c r="J78" s="130" t="s">
        <v>24</v>
      </c>
      <c r="K78" s="130">
        <v>1</v>
      </c>
      <c r="L78" s="132"/>
      <c r="M78" s="127">
        <f t="shared" si="3"/>
      </c>
      <c r="N78" s="165"/>
      <c r="O78" s="126">
        <f>IF(RPA!C77="No Criteria","No Criteria","")</f>
      </c>
    </row>
    <row r="79" spans="1:15" ht="11.25">
      <c r="A79" s="128">
        <v>74</v>
      </c>
      <c r="B79" s="129" t="s">
        <v>89</v>
      </c>
      <c r="C79" s="126" t="s">
        <v>24</v>
      </c>
      <c r="D79" s="130" t="s">
        <v>24</v>
      </c>
      <c r="E79" s="130">
        <v>1</v>
      </c>
      <c r="F79" s="147"/>
      <c r="G79" s="162">
        <f t="shared" si="2"/>
      </c>
      <c r="H79" s="165"/>
      <c r="I79" s="126" t="s">
        <v>24</v>
      </c>
      <c r="J79" s="130" t="s">
        <v>24</v>
      </c>
      <c r="K79" s="130">
        <v>1</v>
      </c>
      <c r="L79" s="132"/>
      <c r="M79" s="127">
        <f t="shared" si="3"/>
      </c>
      <c r="N79" s="165"/>
      <c r="O79" s="126">
        <f>IF(RPA!C78="No Criteria","No Criteria","")</f>
      </c>
    </row>
    <row r="80" spans="1:15" ht="11.25">
      <c r="A80" s="128">
        <v>75</v>
      </c>
      <c r="B80" s="129" t="s">
        <v>90</v>
      </c>
      <c r="C80" s="126" t="s">
        <v>24</v>
      </c>
      <c r="D80" s="130" t="s">
        <v>24</v>
      </c>
      <c r="E80" s="130">
        <v>0.5</v>
      </c>
      <c r="F80" s="146"/>
      <c r="G80" s="162">
        <f t="shared" si="2"/>
      </c>
      <c r="H80" s="165"/>
      <c r="I80" s="126" t="s">
        <v>24</v>
      </c>
      <c r="J80" s="130" t="s">
        <v>24</v>
      </c>
      <c r="K80" s="130">
        <v>0.5</v>
      </c>
      <c r="L80" s="132"/>
      <c r="M80" s="127">
        <f t="shared" si="3"/>
      </c>
      <c r="N80" s="165"/>
      <c r="O80" s="126">
        <f>IF(RPA!C79="No Criteria","No Criteria","")</f>
      </c>
    </row>
    <row r="81" spans="1:15" ht="11.25">
      <c r="A81" s="128">
        <v>76</v>
      </c>
      <c r="B81" s="129" t="s">
        <v>91</v>
      </c>
      <c r="C81" s="126" t="s">
        <v>24</v>
      </c>
      <c r="D81" s="130" t="s">
        <v>24</v>
      </c>
      <c r="E81" s="130">
        <v>0.5</v>
      </c>
      <c r="F81" s="146"/>
      <c r="G81" s="162">
        <f t="shared" si="2"/>
      </c>
      <c r="H81" s="165"/>
      <c r="I81" s="126" t="s">
        <v>24</v>
      </c>
      <c r="J81" s="130" t="s">
        <v>24</v>
      </c>
      <c r="K81" s="130">
        <v>0.5</v>
      </c>
      <c r="L81" s="132"/>
      <c r="M81" s="127">
        <f t="shared" si="3"/>
      </c>
      <c r="N81" s="165"/>
      <c r="O81" s="126">
        <f>IF(RPA!C80="No Criteria","No Criteria","")</f>
      </c>
    </row>
    <row r="82" spans="1:15" ht="11.25">
      <c r="A82" s="128">
        <v>77</v>
      </c>
      <c r="B82" s="129" t="s">
        <v>92</v>
      </c>
      <c r="C82" s="126" t="s">
        <v>24</v>
      </c>
      <c r="D82" s="130" t="s">
        <v>24</v>
      </c>
      <c r="E82" s="130">
        <v>0.5</v>
      </c>
      <c r="F82" s="146"/>
      <c r="G82" s="162">
        <f t="shared" si="2"/>
      </c>
      <c r="H82" s="165"/>
      <c r="I82" s="126" t="s">
        <v>24</v>
      </c>
      <c r="J82" s="130" t="s">
        <v>24</v>
      </c>
      <c r="K82" s="130">
        <v>0.5</v>
      </c>
      <c r="L82" s="132"/>
      <c r="M82" s="127">
        <f t="shared" si="3"/>
      </c>
      <c r="N82" s="165"/>
      <c r="O82" s="126">
        <f>IF(RPA!C81="No Criteria","No Criteria","")</f>
      </c>
    </row>
    <row r="83" spans="1:15" ht="11.25">
      <c r="A83" s="128">
        <v>78</v>
      </c>
      <c r="B83" s="129" t="s">
        <v>93</v>
      </c>
      <c r="C83" s="126" t="s">
        <v>24</v>
      </c>
      <c r="D83" s="130" t="s">
        <v>24</v>
      </c>
      <c r="E83" s="130">
        <v>1</v>
      </c>
      <c r="F83" s="145"/>
      <c r="G83" s="162">
        <f t="shared" si="2"/>
      </c>
      <c r="H83" s="165"/>
      <c r="I83" s="126" t="s">
        <v>24</v>
      </c>
      <c r="J83" s="130" t="s">
        <v>24</v>
      </c>
      <c r="K83" s="130">
        <v>1</v>
      </c>
      <c r="L83" s="132"/>
      <c r="M83" s="127">
        <f t="shared" si="3"/>
      </c>
      <c r="N83" s="165"/>
      <c r="O83" s="126">
        <f>IF(RPA!C82="No Criteria","No Criteria","")</f>
      </c>
    </row>
    <row r="84" spans="1:15" ht="11.25">
      <c r="A84" s="128">
        <v>79</v>
      </c>
      <c r="B84" s="129" t="s">
        <v>94</v>
      </c>
      <c r="C84" s="126" t="s">
        <v>24</v>
      </c>
      <c r="D84" s="130" t="s">
        <v>24</v>
      </c>
      <c r="E84" s="130">
        <v>1</v>
      </c>
      <c r="F84" s="146"/>
      <c r="G84" s="162">
        <f t="shared" si="2"/>
      </c>
      <c r="H84" s="165"/>
      <c r="I84" s="126" t="s">
        <v>24</v>
      </c>
      <c r="J84" s="130" t="s">
        <v>25</v>
      </c>
      <c r="K84" s="130"/>
      <c r="L84" s="132">
        <v>1</v>
      </c>
      <c r="M84" s="127">
        <f t="shared" si="3"/>
      </c>
      <c r="N84" s="165"/>
      <c r="O84" s="126">
        <f>IF(RPA!C83="No Criteria","No Criteria","")</f>
      </c>
    </row>
    <row r="85" spans="1:15" ht="11.25">
      <c r="A85" s="128">
        <v>80</v>
      </c>
      <c r="B85" s="129" t="s">
        <v>95</v>
      </c>
      <c r="C85" s="126" t="s">
        <v>24</v>
      </c>
      <c r="D85" s="130" t="s">
        <v>24</v>
      </c>
      <c r="E85" s="130">
        <v>1</v>
      </c>
      <c r="F85" s="146"/>
      <c r="G85" s="162">
        <f t="shared" si="2"/>
      </c>
      <c r="H85" s="165"/>
      <c r="I85" s="126" t="s">
        <v>24</v>
      </c>
      <c r="J85" s="130" t="s">
        <v>24</v>
      </c>
      <c r="K85" s="130">
        <v>1</v>
      </c>
      <c r="L85" s="132"/>
      <c r="M85" s="127">
        <f t="shared" si="3"/>
      </c>
      <c r="N85" s="165"/>
      <c r="O85" s="126">
        <f>IF(RPA!C84="No Criteria","No Criteria","")</f>
      </c>
    </row>
    <row r="86" spans="1:15" ht="11.25">
      <c r="A86" s="128">
        <v>81</v>
      </c>
      <c r="B86" s="129" t="s">
        <v>96</v>
      </c>
      <c r="C86" s="126" t="s">
        <v>24</v>
      </c>
      <c r="D86" s="130" t="s">
        <v>24</v>
      </c>
      <c r="E86" s="130">
        <v>1</v>
      </c>
      <c r="F86" s="146"/>
      <c r="G86" s="162">
        <f t="shared" si="2"/>
      </c>
      <c r="H86" s="165"/>
      <c r="I86" s="126" t="s">
        <v>24</v>
      </c>
      <c r="J86" s="130" t="s">
        <v>24</v>
      </c>
      <c r="K86" s="130">
        <v>5</v>
      </c>
      <c r="L86" s="132"/>
      <c r="M86" s="127">
        <f t="shared" si="3"/>
      </c>
      <c r="N86" s="165"/>
      <c r="O86" s="126">
        <f>IF(RPA!C85="No Criteria","No Criteria","")</f>
      </c>
    </row>
    <row r="87" spans="1:15" ht="11.25">
      <c r="A87" s="128">
        <v>82</v>
      </c>
      <c r="B87" s="129" t="s">
        <v>97</v>
      </c>
      <c r="C87" s="126" t="s">
        <v>24</v>
      </c>
      <c r="D87" s="130" t="s">
        <v>24</v>
      </c>
      <c r="E87" s="130">
        <v>1</v>
      </c>
      <c r="F87" s="146"/>
      <c r="G87" s="162">
        <f t="shared" si="2"/>
      </c>
      <c r="H87" s="165"/>
      <c r="I87" s="126" t="s">
        <v>24</v>
      </c>
      <c r="J87" s="130" t="s">
        <v>24</v>
      </c>
      <c r="K87" s="130">
        <v>1</v>
      </c>
      <c r="L87" s="132"/>
      <c r="M87" s="127">
        <f t="shared" si="3"/>
      </c>
      <c r="N87" s="165"/>
      <c r="O87" s="126">
        <f>IF(RPA!C86="No Criteria","No Criteria","")</f>
      </c>
    </row>
    <row r="88" spans="1:15" ht="11.25">
      <c r="A88" s="128">
        <v>83</v>
      </c>
      <c r="B88" s="129" t="s">
        <v>98</v>
      </c>
      <c r="C88" s="126" t="s">
        <v>24</v>
      </c>
      <c r="D88" s="130" t="s">
        <v>24</v>
      </c>
      <c r="E88" s="130">
        <v>1</v>
      </c>
      <c r="F88" s="145"/>
      <c r="G88" s="162">
        <f t="shared" si="2"/>
      </c>
      <c r="H88" s="165"/>
      <c r="I88" s="126" t="s">
        <v>24</v>
      </c>
      <c r="J88" s="130" t="s">
        <v>24</v>
      </c>
      <c r="K88" s="130">
        <v>1</v>
      </c>
      <c r="L88" s="132"/>
      <c r="M88" s="127">
        <f t="shared" si="3"/>
      </c>
      <c r="N88" s="165"/>
      <c r="O88" s="126" t="str">
        <f>IF(RPA!C87="No Criteria","No Criteria","")</f>
        <v>No Criteria</v>
      </c>
    </row>
    <row r="89" spans="1:15" ht="11.25">
      <c r="A89" s="128">
        <v>84</v>
      </c>
      <c r="B89" s="129" t="s">
        <v>99</v>
      </c>
      <c r="C89" s="126" t="s">
        <v>24</v>
      </c>
      <c r="D89" s="130" t="s">
        <v>24</v>
      </c>
      <c r="E89" s="130">
        <v>1</v>
      </c>
      <c r="F89" s="145"/>
      <c r="G89" s="162">
        <f t="shared" si="2"/>
      </c>
      <c r="H89" s="165"/>
      <c r="I89" s="126" t="s">
        <v>24</v>
      </c>
      <c r="J89" s="130" t="s">
        <v>25</v>
      </c>
      <c r="K89" s="130"/>
      <c r="L89" s="132">
        <v>47</v>
      </c>
      <c r="M89" s="127">
        <f t="shared" si="3"/>
      </c>
      <c r="N89" s="165"/>
      <c r="O89" s="126" t="str">
        <f>IF(RPA!C88="No Criteria","No Criteria","")</f>
        <v>No Criteria</v>
      </c>
    </row>
    <row r="90" spans="1:15" ht="11.25">
      <c r="A90" s="128">
        <v>85</v>
      </c>
      <c r="B90" s="129" t="s">
        <v>100</v>
      </c>
      <c r="C90" s="126" t="s">
        <v>24</v>
      </c>
      <c r="D90" s="130" t="s">
        <v>24</v>
      </c>
      <c r="E90" s="130">
        <v>0.5</v>
      </c>
      <c r="F90" s="145"/>
      <c r="G90" s="162">
        <f t="shared" si="2"/>
      </c>
      <c r="H90" s="165"/>
      <c r="I90" s="126" t="s">
        <v>24</v>
      </c>
      <c r="J90" s="130" t="s">
        <v>24</v>
      </c>
      <c r="K90" s="130">
        <v>0.5</v>
      </c>
      <c r="L90" s="132"/>
      <c r="M90" s="127">
        <f t="shared" si="3"/>
      </c>
      <c r="N90" s="165"/>
      <c r="O90" s="126">
        <f>IF(RPA!C89="No Criteria","No Criteria","")</f>
      </c>
    </row>
    <row r="91" spans="1:15" ht="11.25">
      <c r="A91" s="128">
        <v>86</v>
      </c>
      <c r="B91" s="129" t="s">
        <v>101</v>
      </c>
      <c r="C91" s="126" t="s">
        <v>24</v>
      </c>
      <c r="D91" s="130" t="s">
        <v>24</v>
      </c>
      <c r="E91" s="130">
        <v>0.5</v>
      </c>
      <c r="F91" s="146"/>
      <c r="G91" s="162">
        <f t="shared" si="2"/>
      </c>
      <c r="H91" s="165"/>
      <c r="I91" s="126" t="s">
        <v>24</v>
      </c>
      <c r="J91" s="130" t="s">
        <v>24</v>
      </c>
      <c r="K91" s="130">
        <v>0.5</v>
      </c>
      <c r="L91" s="132"/>
      <c r="M91" s="127">
        <f t="shared" si="3"/>
      </c>
      <c r="N91" s="165"/>
      <c r="O91" s="126">
        <f>IF(RPA!C90="No Criteria","No Criteria","")</f>
      </c>
    </row>
    <row r="92" spans="1:15" ht="11.25">
      <c r="A92" s="128">
        <v>87</v>
      </c>
      <c r="B92" s="129" t="s">
        <v>102</v>
      </c>
      <c r="C92" s="126" t="s">
        <v>24</v>
      </c>
      <c r="D92" s="130" t="s">
        <v>24</v>
      </c>
      <c r="E92" s="130">
        <v>2</v>
      </c>
      <c r="F92" s="146"/>
      <c r="G92" s="162">
        <f t="shared" si="2"/>
      </c>
      <c r="H92" s="165"/>
      <c r="I92" s="126" t="s">
        <v>24</v>
      </c>
      <c r="J92" s="130" t="s">
        <v>24</v>
      </c>
      <c r="K92" s="130">
        <v>2</v>
      </c>
      <c r="L92" s="132"/>
      <c r="M92" s="127">
        <f t="shared" si="3"/>
      </c>
      <c r="N92" s="165"/>
      <c r="O92" s="126">
        <f>IF(RPA!C91="No Criteria","No Criteria","")</f>
      </c>
    </row>
    <row r="93" spans="1:15" ht="11.25">
      <c r="A93" s="128">
        <v>88</v>
      </c>
      <c r="B93" s="129" t="s">
        <v>103</v>
      </c>
      <c r="C93" s="126" t="s">
        <v>24</v>
      </c>
      <c r="D93" s="130" t="s">
        <v>24</v>
      </c>
      <c r="E93" s="130">
        <v>0.5</v>
      </c>
      <c r="F93" s="146"/>
      <c r="G93" s="162">
        <f t="shared" si="2"/>
      </c>
      <c r="H93" s="165"/>
      <c r="I93" s="126" t="s">
        <v>24</v>
      </c>
      <c r="J93" s="130" t="s">
        <v>24</v>
      </c>
      <c r="K93" s="130">
        <v>0.5</v>
      </c>
      <c r="L93" s="132"/>
      <c r="M93" s="127">
        <f t="shared" si="3"/>
      </c>
      <c r="N93" s="165"/>
      <c r="O93" s="126">
        <f>IF(RPA!C92="No Criteria","No Criteria","")</f>
      </c>
    </row>
    <row r="94" spans="1:15" ht="11.25">
      <c r="A94" s="128">
        <v>89</v>
      </c>
      <c r="B94" s="129" t="s">
        <v>104</v>
      </c>
      <c r="C94" s="126" t="s">
        <v>24</v>
      </c>
      <c r="D94" s="130" t="s">
        <v>24</v>
      </c>
      <c r="E94" s="130">
        <v>0.5</v>
      </c>
      <c r="F94" s="146"/>
      <c r="G94" s="162">
        <f t="shared" si="2"/>
      </c>
      <c r="H94" s="165"/>
      <c r="I94" s="126" t="s">
        <v>24</v>
      </c>
      <c r="J94" s="130" t="s">
        <v>24</v>
      </c>
      <c r="K94" s="130">
        <v>0.5</v>
      </c>
      <c r="L94" s="132"/>
      <c r="M94" s="127">
        <f t="shared" si="3"/>
      </c>
      <c r="N94" s="165"/>
      <c r="O94" s="126">
        <f>IF(RPA!C93="No Criteria","No Criteria","")</f>
      </c>
    </row>
    <row r="95" spans="1:15" ht="11.25">
      <c r="A95" s="128">
        <v>90</v>
      </c>
      <c r="B95" s="129" t="s">
        <v>105</v>
      </c>
      <c r="C95" s="126" t="s">
        <v>24</v>
      </c>
      <c r="D95" s="130" t="s">
        <v>24</v>
      </c>
      <c r="E95" s="130">
        <v>1</v>
      </c>
      <c r="F95" s="146"/>
      <c r="G95" s="162">
        <f t="shared" si="2"/>
      </c>
      <c r="H95" s="165"/>
      <c r="I95" s="126" t="s">
        <v>24</v>
      </c>
      <c r="J95" s="130" t="s">
        <v>24</v>
      </c>
      <c r="K95" s="130">
        <v>1</v>
      </c>
      <c r="L95" s="132"/>
      <c r="M95" s="127">
        <f t="shared" si="3"/>
      </c>
      <c r="N95" s="165"/>
      <c r="O95" s="126">
        <f>IF(RPA!C94="No Criteria","No Criteria","")</f>
      </c>
    </row>
    <row r="96" spans="1:15" ht="11.25">
      <c r="A96" s="128">
        <v>91</v>
      </c>
      <c r="B96" s="129" t="s">
        <v>106</v>
      </c>
      <c r="C96" s="126" t="s">
        <v>24</v>
      </c>
      <c r="D96" s="130" t="s">
        <v>24</v>
      </c>
      <c r="E96" s="130">
        <v>0.5</v>
      </c>
      <c r="F96" s="146"/>
      <c r="G96" s="162">
        <f t="shared" si="2"/>
      </c>
      <c r="H96" s="165"/>
      <c r="I96" s="126" t="s">
        <v>24</v>
      </c>
      <c r="J96" s="130" t="s">
        <v>24</v>
      </c>
      <c r="K96" s="130">
        <v>0.5</v>
      </c>
      <c r="L96" s="132"/>
      <c r="M96" s="127">
        <f t="shared" si="3"/>
      </c>
      <c r="N96" s="165"/>
      <c r="O96" s="126">
        <f>IF(RPA!C95="No Criteria","No Criteria","")</f>
      </c>
    </row>
    <row r="97" spans="1:15" ht="11.25">
      <c r="A97" s="128">
        <v>92</v>
      </c>
      <c r="B97" s="129" t="s">
        <v>107</v>
      </c>
      <c r="C97" s="126" t="s">
        <v>24</v>
      </c>
      <c r="D97" s="130" t="s">
        <v>24</v>
      </c>
      <c r="E97" s="130">
        <v>1</v>
      </c>
      <c r="F97" s="146"/>
      <c r="G97" s="162">
        <f t="shared" si="2"/>
      </c>
      <c r="H97" s="165"/>
      <c r="I97" s="126" t="s">
        <v>24</v>
      </c>
      <c r="J97" s="130" t="s">
        <v>24</v>
      </c>
      <c r="K97" s="130">
        <v>1</v>
      </c>
      <c r="L97" s="132"/>
      <c r="M97" s="127">
        <f t="shared" si="3"/>
      </c>
      <c r="N97" s="165"/>
      <c r="O97" s="126">
        <f>IF(RPA!C96="No Criteria","No Criteria","")</f>
      </c>
    </row>
    <row r="98" spans="1:15" ht="11.25">
      <c r="A98" s="128">
        <v>93</v>
      </c>
      <c r="B98" s="129" t="s">
        <v>108</v>
      </c>
      <c r="C98" s="126" t="s">
        <v>24</v>
      </c>
      <c r="D98" s="130" t="s">
        <v>24</v>
      </c>
      <c r="E98" s="130">
        <v>0.5</v>
      </c>
      <c r="F98" s="146"/>
      <c r="G98" s="162">
        <f t="shared" si="2"/>
      </c>
      <c r="H98" s="165"/>
      <c r="I98" s="126" t="s">
        <v>24</v>
      </c>
      <c r="J98" s="130" t="s">
        <v>24</v>
      </c>
      <c r="K98" s="130">
        <v>0.5</v>
      </c>
      <c r="L98" s="132"/>
      <c r="M98" s="127">
        <f t="shared" si="3"/>
      </c>
      <c r="N98" s="165"/>
      <c r="O98" s="126">
        <f>IF(RPA!C97="No Criteria","No Criteria","")</f>
      </c>
    </row>
    <row r="99" spans="1:15" ht="11.25">
      <c r="A99" s="128">
        <v>94</v>
      </c>
      <c r="B99" s="129" t="s">
        <v>109</v>
      </c>
      <c r="C99" s="126" t="s">
        <v>24</v>
      </c>
      <c r="D99" s="130" t="s">
        <v>24</v>
      </c>
      <c r="E99" s="130">
        <v>0.5</v>
      </c>
      <c r="F99" s="145"/>
      <c r="G99" s="162">
        <f t="shared" si="2"/>
      </c>
      <c r="H99" s="165"/>
      <c r="I99" s="126" t="s">
        <v>24</v>
      </c>
      <c r="J99" s="130" t="s">
        <v>24</v>
      </c>
      <c r="K99" s="130">
        <v>0.5</v>
      </c>
      <c r="L99" s="132"/>
      <c r="M99" s="127">
        <f t="shared" si="3"/>
      </c>
      <c r="N99" s="165"/>
      <c r="O99" s="126" t="str">
        <f>IF(RPA!C98="No Criteria","No Criteria","")</f>
        <v>No Criteria</v>
      </c>
    </row>
    <row r="100" spans="1:15" ht="11.25">
      <c r="A100" s="128">
        <v>95</v>
      </c>
      <c r="B100" s="129" t="s">
        <v>110</v>
      </c>
      <c r="C100" s="126" t="s">
        <v>24</v>
      </c>
      <c r="D100" s="130" t="s">
        <v>24</v>
      </c>
      <c r="E100" s="130">
        <v>0.5</v>
      </c>
      <c r="F100" s="146"/>
      <c r="G100" s="162">
        <f t="shared" si="2"/>
      </c>
      <c r="H100" s="165"/>
      <c r="I100" s="126" t="s">
        <v>24</v>
      </c>
      <c r="J100" s="130" t="s">
        <v>24</v>
      </c>
      <c r="K100" s="130">
        <v>0.5</v>
      </c>
      <c r="L100" s="132"/>
      <c r="M100" s="127">
        <f t="shared" si="3"/>
      </c>
      <c r="N100" s="165"/>
      <c r="O100" s="126">
        <f>IF(RPA!C99="No Criteria","No Criteria","")</f>
      </c>
    </row>
    <row r="101" spans="1:15" ht="11.25">
      <c r="A101" s="128">
        <v>96</v>
      </c>
      <c r="B101" s="129" t="s">
        <v>111</v>
      </c>
      <c r="C101" s="126" t="s">
        <v>24</v>
      </c>
      <c r="D101" s="130" t="s">
        <v>24</v>
      </c>
      <c r="E101" s="130">
        <v>0.5</v>
      </c>
      <c r="F101" s="146"/>
      <c r="G101" s="162">
        <f t="shared" si="2"/>
      </c>
      <c r="H101" s="165"/>
      <c r="I101" s="126" t="s">
        <v>24</v>
      </c>
      <c r="J101" s="130" t="s">
        <v>24</v>
      </c>
      <c r="K101" s="130">
        <v>0.5</v>
      </c>
      <c r="L101" s="132"/>
      <c r="M101" s="127">
        <f t="shared" si="3"/>
      </c>
      <c r="N101" s="165"/>
      <c r="O101" s="126">
        <f>IF(RPA!C100="No Criteria","No Criteria","")</f>
      </c>
    </row>
    <row r="102" spans="1:15" ht="11.25">
      <c r="A102" s="128">
        <v>97</v>
      </c>
      <c r="B102" s="129" t="s">
        <v>112</v>
      </c>
      <c r="C102" s="126" t="s">
        <v>24</v>
      </c>
      <c r="D102" s="130" t="s">
        <v>24</v>
      </c>
      <c r="E102" s="130">
        <v>1</v>
      </c>
      <c r="F102" s="146"/>
      <c r="G102" s="162">
        <f t="shared" si="2"/>
      </c>
      <c r="H102" s="165"/>
      <c r="I102" s="126" t="s">
        <v>24</v>
      </c>
      <c r="J102" s="130" t="s">
        <v>24</v>
      </c>
      <c r="K102" s="130">
        <v>1</v>
      </c>
      <c r="L102" s="132"/>
      <c r="M102" s="127">
        <f t="shared" si="3"/>
      </c>
      <c r="N102" s="165"/>
      <c r="O102" s="126">
        <f>IF(RPA!C101="No Criteria","No Criteria","")</f>
      </c>
    </row>
    <row r="103" spans="1:15" ht="11.25">
      <c r="A103" s="128">
        <v>98</v>
      </c>
      <c r="B103" s="129" t="s">
        <v>113</v>
      </c>
      <c r="C103" s="126" t="s">
        <v>24</v>
      </c>
      <c r="D103" s="130" t="s">
        <v>24</v>
      </c>
      <c r="E103" s="130">
        <v>0.5</v>
      </c>
      <c r="F103" s="146"/>
      <c r="G103" s="162">
        <f t="shared" si="2"/>
      </c>
      <c r="H103" s="165"/>
      <c r="I103" s="126" t="s">
        <v>24</v>
      </c>
      <c r="J103" s="130" t="s">
        <v>24</v>
      </c>
      <c r="K103" s="130">
        <v>0.5</v>
      </c>
      <c r="L103" s="132"/>
      <c r="M103" s="127">
        <f t="shared" si="3"/>
      </c>
      <c r="N103" s="165"/>
      <c r="O103" s="126">
        <f>IF(RPA!C102="No Criteria","No Criteria","")</f>
      </c>
    </row>
    <row r="104" spans="1:15" ht="11.25">
      <c r="A104" s="128">
        <v>99</v>
      </c>
      <c r="B104" s="129" t="s">
        <v>114</v>
      </c>
      <c r="C104" s="126" t="s">
        <v>24</v>
      </c>
      <c r="D104" s="130" t="s">
        <v>24</v>
      </c>
      <c r="E104" s="130">
        <v>1</v>
      </c>
      <c r="F104" s="146"/>
      <c r="G104" s="162">
        <f t="shared" si="2"/>
      </c>
      <c r="H104" s="165"/>
      <c r="I104" s="126" t="s">
        <v>24</v>
      </c>
      <c r="J104" s="130" t="s">
        <v>24</v>
      </c>
      <c r="K104" s="130">
        <v>1</v>
      </c>
      <c r="L104" s="132"/>
      <c r="M104" s="127">
        <f t="shared" si="3"/>
      </c>
      <c r="N104" s="165"/>
      <c r="O104" s="126" t="str">
        <f>IF(RPA!C103="No Criteria","No Criteria","")</f>
        <v>No Criteria</v>
      </c>
    </row>
    <row r="105" spans="1:15" ht="11.25">
      <c r="A105" s="128">
        <v>100</v>
      </c>
      <c r="B105" s="129" t="s">
        <v>115</v>
      </c>
      <c r="C105" s="126" t="s">
        <v>24</v>
      </c>
      <c r="D105" s="130" t="s">
        <v>24</v>
      </c>
      <c r="E105" s="130">
        <v>1</v>
      </c>
      <c r="F105" s="146"/>
      <c r="G105" s="162">
        <f t="shared" si="2"/>
      </c>
      <c r="H105" s="165"/>
      <c r="I105" s="126" t="s">
        <v>24</v>
      </c>
      <c r="J105" s="130" t="s">
        <v>24</v>
      </c>
      <c r="K105" s="130">
        <v>1</v>
      </c>
      <c r="L105" s="132"/>
      <c r="M105" s="127">
        <f t="shared" si="3"/>
      </c>
      <c r="N105" s="165"/>
      <c r="O105" s="126">
        <f>IF(RPA!C104="No Criteria","No Criteria","")</f>
      </c>
    </row>
    <row r="106" spans="1:15" ht="11.25">
      <c r="A106" s="128">
        <v>101</v>
      </c>
      <c r="B106" s="129" t="s">
        <v>116</v>
      </c>
      <c r="C106" s="126" t="s">
        <v>24</v>
      </c>
      <c r="D106" s="130" t="s">
        <v>24</v>
      </c>
      <c r="E106" s="130">
        <v>1</v>
      </c>
      <c r="F106" s="146"/>
      <c r="G106" s="162">
        <f t="shared" si="2"/>
      </c>
      <c r="H106" s="165"/>
      <c r="I106" s="126" t="s">
        <v>24</v>
      </c>
      <c r="J106" s="130" t="s">
        <v>24</v>
      </c>
      <c r="K106" s="130">
        <v>1</v>
      </c>
      <c r="L106" s="132"/>
      <c r="M106" s="127">
        <f t="shared" si="3"/>
      </c>
      <c r="N106" s="165"/>
      <c r="O106" s="126" t="str">
        <f>IF(RPA!C105="No Criteria","No Criteria","")</f>
        <v>No Criteria</v>
      </c>
    </row>
    <row r="107" spans="1:15" ht="11.25">
      <c r="A107" s="128">
        <v>102</v>
      </c>
      <c r="B107" s="129" t="s">
        <v>117</v>
      </c>
      <c r="C107" s="126" t="s">
        <v>24</v>
      </c>
      <c r="D107" s="130" t="s">
        <v>24</v>
      </c>
      <c r="E107" s="130">
        <v>0.002</v>
      </c>
      <c r="F107" s="147"/>
      <c r="G107" s="162">
        <f t="shared" si="2"/>
      </c>
      <c r="H107" s="165"/>
      <c r="I107" s="126" t="s">
        <v>24</v>
      </c>
      <c r="J107" s="130" t="s">
        <v>24</v>
      </c>
      <c r="K107" s="130">
        <v>0.002</v>
      </c>
      <c r="L107" s="132"/>
      <c r="M107" s="127">
        <f t="shared" si="3"/>
      </c>
      <c r="N107" s="165"/>
      <c r="O107" s="126">
        <f>IF(RPA!C106="No Criteria","No Criteria","")</f>
      </c>
    </row>
    <row r="108" spans="1:15" ht="11.25">
      <c r="A108" s="128">
        <v>103</v>
      </c>
      <c r="B108" s="129" t="s">
        <v>118</v>
      </c>
      <c r="C108" s="126" t="s">
        <v>24</v>
      </c>
      <c r="D108" s="130" t="s">
        <v>24</v>
      </c>
      <c r="E108" s="130">
        <v>0.005</v>
      </c>
      <c r="F108" s="147"/>
      <c r="G108" s="162">
        <f t="shared" si="2"/>
      </c>
      <c r="H108" s="165"/>
      <c r="I108" s="126" t="s">
        <v>24</v>
      </c>
      <c r="J108" s="130" t="s">
        <v>24</v>
      </c>
      <c r="K108" s="130">
        <v>0.005</v>
      </c>
      <c r="L108" s="132"/>
      <c r="M108" s="127">
        <f t="shared" si="3"/>
      </c>
      <c r="N108" s="165"/>
      <c r="O108" s="126">
        <f>IF(RPA!C107="No Criteria","No Criteria","")</f>
      </c>
    </row>
    <row r="109" spans="1:15" ht="11.25">
      <c r="A109" s="128">
        <v>104</v>
      </c>
      <c r="B109" s="129" t="s">
        <v>119</v>
      </c>
      <c r="C109" s="126" t="s">
        <v>24</v>
      </c>
      <c r="D109" s="130" t="s">
        <v>24</v>
      </c>
      <c r="E109" s="130">
        <v>0.002</v>
      </c>
      <c r="F109" s="150"/>
      <c r="G109" s="162">
        <f t="shared" si="2"/>
      </c>
      <c r="H109" s="165"/>
      <c r="I109" s="126" t="s">
        <v>24</v>
      </c>
      <c r="J109" s="130" t="s">
        <v>24</v>
      </c>
      <c r="K109" s="130">
        <v>0.002</v>
      </c>
      <c r="L109" s="132"/>
      <c r="M109" s="127">
        <f t="shared" si="3"/>
      </c>
      <c r="N109" s="165"/>
      <c r="O109" s="126">
        <f>IF(RPA!C108="No Criteria","No Criteria","")</f>
      </c>
    </row>
    <row r="110" spans="1:15" ht="11.25">
      <c r="A110" s="128">
        <v>105</v>
      </c>
      <c r="B110" s="129" t="s">
        <v>120</v>
      </c>
      <c r="C110" s="126" t="s">
        <v>24</v>
      </c>
      <c r="D110" s="130" t="s">
        <v>24</v>
      </c>
      <c r="E110" s="130">
        <v>0.005</v>
      </c>
      <c r="F110" s="147"/>
      <c r="G110" s="162">
        <f t="shared" si="2"/>
      </c>
      <c r="H110" s="165"/>
      <c r="I110" s="126" t="s">
        <v>24</v>
      </c>
      <c r="J110" s="130" t="s">
        <v>24</v>
      </c>
      <c r="K110" s="130">
        <v>0.005</v>
      </c>
      <c r="L110" s="132"/>
      <c r="M110" s="127">
        <f t="shared" si="3"/>
      </c>
      <c r="N110" s="165"/>
      <c r="O110" s="126">
        <f>IF(RPA!C109="No Criteria","No Criteria","")</f>
      </c>
    </row>
    <row r="111" spans="1:15" ht="11.25">
      <c r="A111" s="128">
        <v>106</v>
      </c>
      <c r="B111" s="129" t="s">
        <v>121</v>
      </c>
      <c r="C111" s="126" t="s">
        <v>24</v>
      </c>
      <c r="D111" s="130" t="s">
        <v>24</v>
      </c>
      <c r="E111" s="130">
        <v>0.002</v>
      </c>
      <c r="F111" s="147"/>
      <c r="G111" s="162">
        <f t="shared" si="2"/>
      </c>
      <c r="H111" s="165"/>
      <c r="I111" s="126" t="s">
        <v>24</v>
      </c>
      <c r="J111" s="130" t="s">
        <v>24</v>
      </c>
      <c r="K111" s="130">
        <v>0.002</v>
      </c>
      <c r="L111" s="132"/>
      <c r="M111" s="127">
        <f t="shared" si="3"/>
      </c>
      <c r="N111" s="165"/>
      <c r="O111" s="126" t="str">
        <f>IF(RPA!C110="No Criteria","No Criteria","")</f>
        <v>No Criteria</v>
      </c>
    </row>
    <row r="112" spans="1:15" ht="11.25">
      <c r="A112" s="139">
        <v>107</v>
      </c>
      <c r="B112" s="140" t="s">
        <v>271</v>
      </c>
      <c r="C112" s="126" t="s">
        <v>24</v>
      </c>
      <c r="D112" s="130" t="s">
        <v>24</v>
      </c>
      <c r="E112" s="130">
        <v>0.01</v>
      </c>
      <c r="F112" s="149"/>
      <c r="G112" s="162">
        <f t="shared" si="2"/>
      </c>
      <c r="H112" s="165"/>
      <c r="I112" s="126" t="s">
        <v>24</v>
      </c>
      <c r="J112" s="130" t="s">
        <v>24</v>
      </c>
      <c r="K112" s="130">
        <v>0.01</v>
      </c>
      <c r="L112" s="132"/>
      <c r="M112" s="127">
        <f t="shared" si="3"/>
      </c>
      <c r="N112" s="165"/>
      <c r="O112" s="126">
        <f>IF(RPA!C111="No Criteria","No Criteria","")</f>
      </c>
    </row>
    <row r="113" spans="1:15" ht="11.25">
      <c r="A113" s="139">
        <v>108</v>
      </c>
      <c r="B113" s="140" t="s">
        <v>272</v>
      </c>
      <c r="C113" s="126" t="s">
        <v>24</v>
      </c>
      <c r="D113" s="130" t="s">
        <v>24</v>
      </c>
      <c r="E113" s="130">
        <v>0.005</v>
      </c>
      <c r="F113" s="149"/>
      <c r="G113" s="162">
        <f t="shared" si="2"/>
      </c>
      <c r="H113" s="165"/>
      <c r="I113" s="126" t="s">
        <v>24</v>
      </c>
      <c r="J113" s="130" t="s">
        <v>24</v>
      </c>
      <c r="K113" s="130">
        <v>0.005</v>
      </c>
      <c r="L113" s="132"/>
      <c r="M113" s="127">
        <f t="shared" si="3"/>
      </c>
      <c r="N113" s="165"/>
      <c r="O113" s="126">
        <f>IF(RPA!C112="No Criteria","No Criteria","")</f>
      </c>
    </row>
    <row r="114" spans="1:15" ht="11.25">
      <c r="A114" s="128">
        <v>109</v>
      </c>
      <c r="B114" s="134" t="s">
        <v>124</v>
      </c>
      <c r="C114" s="126" t="s">
        <v>24</v>
      </c>
      <c r="D114" s="130" t="s">
        <v>24</v>
      </c>
      <c r="E114" s="130">
        <v>0.005</v>
      </c>
      <c r="F114" s="147"/>
      <c r="G114" s="162">
        <f t="shared" si="2"/>
      </c>
      <c r="H114" s="165"/>
      <c r="I114" s="126" t="s">
        <v>24</v>
      </c>
      <c r="J114" s="130" t="s">
        <v>24</v>
      </c>
      <c r="K114" s="130">
        <v>0.005</v>
      </c>
      <c r="L114" s="132"/>
      <c r="M114" s="127">
        <f t="shared" si="3"/>
      </c>
      <c r="N114" s="165"/>
      <c r="O114" s="126">
        <f>IF(RPA!C113="No Criteria","No Criteria","")</f>
      </c>
    </row>
    <row r="115" spans="1:15" ht="11.25">
      <c r="A115" s="128">
        <v>110</v>
      </c>
      <c r="B115" s="129" t="s">
        <v>125</v>
      </c>
      <c r="C115" s="126" t="s">
        <v>24</v>
      </c>
      <c r="D115" s="130" t="s">
        <v>24</v>
      </c>
      <c r="E115" s="130">
        <v>0.01</v>
      </c>
      <c r="F115" s="147"/>
      <c r="G115" s="162">
        <f t="shared" si="2"/>
      </c>
      <c r="H115" s="165"/>
      <c r="I115" s="126" t="s">
        <v>24</v>
      </c>
      <c r="J115" s="130" t="s">
        <v>24</v>
      </c>
      <c r="K115" s="130">
        <v>0.01</v>
      </c>
      <c r="L115" s="132"/>
      <c r="M115" s="127">
        <f t="shared" si="3"/>
      </c>
      <c r="N115" s="165"/>
      <c r="O115" s="126">
        <f>IF(RPA!C114="No Criteria","No Criteria","")</f>
      </c>
    </row>
    <row r="116" spans="1:15" ht="11.25">
      <c r="A116" s="128">
        <v>111</v>
      </c>
      <c r="B116" s="136" t="s">
        <v>226</v>
      </c>
      <c r="C116" s="126" t="s">
        <v>24</v>
      </c>
      <c r="D116" s="130" t="s">
        <v>24</v>
      </c>
      <c r="E116" s="130">
        <v>0.005</v>
      </c>
      <c r="F116" s="147"/>
      <c r="G116" s="162">
        <f t="shared" si="2"/>
      </c>
      <c r="H116" s="165"/>
      <c r="I116" s="126" t="s">
        <v>24</v>
      </c>
      <c r="J116" s="130" t="s">
        <v>24</v>
      </c>
      <c r="K116" s="130">
        <v>0.005</v>
      </c>
      <c r="L116" s="132"/>
      <c r="M116" s="127">
        <f t="shared" si="3"/>
      </c>
      <c r="N116" s="165"/>
      <c r="O116" s="126">
        <f>IF(RPA!C115="No Criteria","No Criteria","")</f>
      </c>
    </row>
    <row r="117" spans="1:15" ht="11.25">
      <c r="A117" s="128">
        <v>112</v>
      </c>
      <c r="B117" s="129" t="s">
        <v>127</v>
      </c>
      <c r="C117" s="126" t="s">
        <v>24</v>
      </c>
      <c r="D117" s="130" t="s">
        <v>24</v>
      </c>
      <c r="E117" s="130">
        <v>0.005</v>
      </c>
      <c r="F117" s="150"/>
      <c r="G117" s="162">
        <f t="shared" si="2"/>
      </c>
      <c r="H117" s="165"/>
      <c r="I117" s="126" t="s">
        <v>24</v>
      </c>
      <c r="J117" s="130" t="s">
        <v>24</v>
      </c>
      <c r="K117" s="130">
        <v>0.005</v>
      </c>
      <c r="L117" s="132"/>
      <c r="M117" s="127">
        <f t="shared" si="3"/>
      </c>
      <c r="N117" s="165"/>
      <c r="O117" s="126">
        <f>IF(RPA!C116="No Criteria","No Criteria","")</f>
      </c>
    </row>
    <row r="118" spans="1:15" ht="11.25">
      <c r="A118" s="128">
        <v>113</v>
      </c>
      <c r="B118" s="129" t="s">
        <v>128</v>
      </c>
      <c r="C118" s="126" t="s">
        <v>24</v>
      </c>
      <c r="D118" s="130" t="s">
        <v>24</v>
      </c>
      <c r="E118" s="130">
        <v>0.005</v>
      </c>
      <c r="F118" s="150"/>
      <c r="G118" s="162">
        <f t="shared" si="2"/>
      </c>
      <c r="H118" s="165"/>
      <c r="I118" s="126" t="s">
        <v>24</v>
      </c>
      <c r="J118" s="130" t="s">
        <v>24</v>
      </c>
      <c r="K118" s="130">
        <v>0.005</v>
      </c>
      <c r="L118" s="132"/>
      <c r="M118" s="127">
        <f t="shared" si="3"/>
      </c>
      <c r="N118" s="165"/>
      <c r="O118" s="126">
        <f>IF(RPA!C117="No Criteria","No Criteria","")</f>
      </c>
    </row>
    <row r="119" spans="1:15" ht="11.25">
      <c r="A119" s="128">
        <v>114</v>
      </c>
      <c r="B119" s="129" t="s">
        <v>129</v>
      </c>
      <c r="C119" s="126" t="s">
        <v>24</v>
      </c>
      <c r="D119" s="130" t="s">
        <v>24</v>
      </c>
      <c r="E119" s="130">
        <v>0.01</v>
      </c>
      <c r="F119" s="343"/>
      <c r="G119" s="162">
        <f t="shared" si="2"/>
      </c>
      <c r="H119" s="165"/>
      <c r="I119" s="126" t="s">
        <v>24</v>
      </c>
      <c r="J119" s="130" t="s">
        <v>24</v>
      </c>
      <c r="K119" s="130">
        <v>0.01</v>
      </c>
      <c r="L119" s="132"/>
      <c r="M119" s="127">
        <f t="shared" si="3"/>
      </c>
      <c r="N119" s="165"/>
      <c r="O119" s="126">
        <f>IF(RPA!C118="No Criteria","No Criteria","")</f>
      </c>
    </row>
    <row r="120" spans="1:15" ht="11.25">
      <c r="A120" s="128">
        <v>115</v>
      </c>
      <c r="B120" s="129" t="s">
        <v>130</v>
      </c>
      <c r="C120" s="126" t="s">
        <v>24</v>
      </c>
      <c r="D120" s="130" t="s">
        <v>24</v>
      </c>
      <c r="E120" s="130">
        <v>0.005</v>
      </c>
      <c r="F120" s="150"/>
      <c r="G120" s="162">
        <f t="shared" si="2"/>
      </c>
      <c r="H120" s="165"/>
      <c r="I120" s="126" t="s">
        <v>24</v>
      </c>
      <c r="J120" s="130" t="s">
        <v>24</v>
      </c>
      <c r="K120" s="130">
        <v>0.005</v>
      </c>
      <c r="L120" s="132"/>
      <c r="M120" s="127">
        <f t="shared" si="3"/>
      </c>
      <c r="N120" s="165"/>
      <c r="O120" s="126">
        <f>IF(RPA!C119="No Criteria","No Criteria","")</f>
      </c>
    </row>
    <row r="121" spans="1:15" ht="11.25">
      <c r="A121" s="128">
        <v>116</v>
      </c>
      <c r="B121" s="129" t="s">
        <v>131</v>
      </c>
      <c r="C121" s="126" t="s">
        <v>24</v>
      </c>
      <c r="D121" s="130" t="s">
        <v>24</v>
      </c>
      <c r="E121" s="130">
        <v>0.005</v>
      </c>
      <c r="F121" s="145"/>
      <c r="G121" s="162">
        <f t="shared" si="2"/>
      </c>
      <c r="H121" s="165"/>
      <c r="I121" s="126" t="s">
        <v>24</v>
      </c>
      <c r="J121" s="130" t="s">
        <v>24</v>
      </c>
      <c r="K121" s="130">
        <v>0.005</v>
      </c>
      <c r="L121" s="132"/>
      <c r="M121" s="127">
        <f t="shared" si="3"/>
      </c>
      <c r="N121" s="165"/>
      <c r="O121" s="126">
        <f>IF(RPA!C120="No Criteria","No Criteria","")</f>
      </c>
    </row>
    <row r="122" spans="1:15" ht="11.25">
      <c r="A122" s="128">
        <v>117</v>
      </c>
      <c r="B122" s="129" t="s">
        <v>132</v>
      </c>
      <c r="C122" s="126" t="s">
        <v>24</v>
      </c>
      <c r="D122" s="130" t="s">
        <v>24</v>
      </c>
      <c r="E122" s="130">
        <v>0.005</v>
      </c>
      <c r="F122" s="150"/>
      <c r="G122" s="162">
        <f t="shared" si="2"/>
      </c>
      <c r="H122" s="165"/>
      <c r="I122" s="126" t="s">
        <v>24</v>
      </c>
      <c r="J122" s="130" t="s">
        <v>24</v>
      </c>
      <c r="K122" s="130">
        <v>0.005</v>
      </c>
      <c r="L122" s="132"/>
      <c r="M122" s="127">
        <f t="shared" si="3"/>
      </c>
      <c r="N122" s="165"/>
      <c r="O122" s="126">
        <f>IF(RPA!C121="No Criteria","No Criteria","")</f>
      </c>
    </row>
    <row r="123" spans="1:15" ht="11.25">
      <c r="A123" s="128">
        <v>118</v>
      </c>
      <c r="B123" s="129" t="s">
        <v>133</v>
      </c>
      <c r="C123" s="126" t="s">
        <v>24</v>
      </c>
      <c r="D123" s="130" t="s">
        <v>24</v>
      </c>
      <c r="E123" s="130">
        <v>0.005</v>
      </c>
      <c r="F123" s="150"/>
      <c r="G123" s="162">
        <f t="shared" si="2"/>
      </c>
      <c r="H123" s="165"/>
      <c r="I123" s="126" t="s">
        <v>24</v>
      </c>
      <c r="J123" s="130" t="s">
        <v>24</v>
      </c>
      <c r="K123" s="130">
        <v>0.005</v>
      </c>
      <c r="L123" s="132"/>
      <c r="M123" s="127">
        <f t="shared" si="3"/>
      </c>
      <c r="N123" s="165"/>
      <c r="O123" s="126">
        <f>IF(RPA!C122="No Criteria","No Criteria","")</f>
      </c>
    </row>
    <row r="124" spans="1:15" ht="11.25">
      <c r="A124" s="68" t="s">
        <v>229</v>
      </c>
      <c r="B124" s="62" t="s">
        <v>273</v>
      </c>
      <c r="C124" s="126" t="s">
        <v>24</v>
      </c>
      <c r="D124" s="130" t="s">
        <v>24</v>
      </c>
      <c r="E124" s="130">
        <v>0.1</v>
      </c>
      <c r="F124" s="142"/>
      <c r="G124" s="162">
        <f t="shared" si="2"/>
      </c>
      <c r="H124" s="165"/>
      <c r="I124" s="126" t="s">
        <v>24</v>
      </c>
      <c r="J124" s="130" t="s">
        <v>24</v>
      </c>
      <c r="K124" s="130">
        <v>0.1</v>
      </c>
      <c r="L124" s="132"/>
      <c r="M124" s="127">
        <f t="shared" si="3"/>
      </c>
      <c r="N124" s="165"/>
      <c r="O124" s="126">
        <f>IF(RPA!C123="No Criteria","No Criteria","")</f>
      </c>
    </row>
    <row r="125" spans="1:15" ht="11.25">
      <c r="A125" s="128">
        <v>126</v>
      </c>
      <c r="B125" s="129" t="s">
        <v>134</v>
      </c>
      <c r="C125" s="126" t="s">
        <v>24</v>
      </c>
      <c r="D125" s="148" t="s">
        <v>24</v>
      </c>
      <c r="E125" s="285">
        <v>0.1</v>
      </c>
      <c r="F125" s="145"/>
      <c r="G125" s="162">
        <f t="shared" si="2"/>
      </c>
      <c r="H125" s="165"/>
      <c r="I125" s="126" t="s">
        <v>24</v>
      </c>
      <c r="J125" s="130" t="s">
        <v>24</v>
      </c>
      <c r="K125" s="285">
        <v>0.1</v>
      </c>
      <c r="L125" s="132"/>
      <c r="M125" s="127">
        <f t="shared" si="3"/>
      </c>
      <c r="N125" s="165"/>
      <c r="O125" s="126">
        <f>IF(RPA!C124="No Criteria","No Criteria","")</f>
      </c>
    </row>
    <row r="126" spans="1:15" ht="11.25">
      <c r="A126" s="132"/>
      <c r="B126" s="29" t="s">
        <v>253</v>
      </c>
      <c r="C126" s="126" t="s">
        <v>25</v>
      </c>
      <c r="D126" s="148"/>
      <c r="E126" s="337"/>
      <c r="F126" s="150"/>
      <c r="G126" s="162">
        <f t="shared" si="2"/>
      </c>
      <c r="H126" s="166"/>
      <c r="I126" s="126" t="s">
        <v>25</v>
      </c>
      <c r="J126" s="130"/>
      <c r="K126" s="338"/>
      <c r="L126" s="132"/>
      <c r="M126" s="127">
        <f t="shared" si="3"/>
      </c>
      <c r="N126" s="166"/>
      <c r="O126" s="126">
        <f>IF(RPA!C125="No Criteria","No Criteria","")</f>
      </c>
    </row>
    <row r="127" spans="1:15" ht="11.25">
      <c r="A127" s="369"/>
      <c r="B127" s="369" t="s">
        <v>295</v>
      </c>
      <c r="C127" s="391" t="s">
        <v>25</v>
      </c>
      <c r="D127" s="369"/>
      <c r="E127" s="369"/>
      <c r="F127" s="369"/>
      <c r="G127" s="369">
        <f t="shared" si="2"/>
      </c>
      <c r="H127" s="369"/>
      <c r="I127" s="369"/>
      <c r="J127" s="369"/>
      <c r="K127" s="341"/>
      <c r="L127" s="132"/>
      <c r="M127" s="369"/>
      <c r="N127" s="369"/>
      <c r="O127" s="369"/>
    </row>
    <row r="129" spans="3:15" ht="11.25">
      <c r="C129" s="151"/>
      <c r="D129" s="151"/>
      <c r="E129" s="151"/>
      <c r="F129" s="151"/>
      <c r="G129" s="151"/>
      <c r="H129" s="151"/>
      <c r="I129" s="151"/>
      <c r="J129" s="151"/>
      <c r="K129" s="151"/>
      <c r="L129" s="151"/>
      <c r="M129" s="151"/>
      <c r="N129" s="151"/>
      <c r="O129" s="151"/>
    </row>
  </sheetData>
  <mergeCells count="12">
    <mergeCell ref="O3:O4"/>
    <mergeCell ref="A3:A4"/>
    <mergeCell ref="B3:B4"/>
    <mergeCell ref="C3:C4"/>
    <mergeCell ref="D3:D4"/>
    <mergeCell ref="I3:I4"/>
    <mergeCell ref="J3:J4"/>
    <mergeCell ref="K3:K4"/>
    <mergeCell ref="C2:G2"/>
    <mergeCell ref="I2:M2"/>
    <mergeCell ref="E3:E4"/>
    <mergeCell ref="F3:F4"/>
  </mergeCells>
  <printOptions horizontalCentered="1"/>
  <pageMargins left="0.75" right="0.75" top="1" bottom="1" header="0.5" footer="0.5"/>
  <pageSetup fitToHeight="2" fitToWidth="1" horizontalDpi="600" verticalDpi="600" orientation="portrait" scale="54" r:id="rId3"/>
  <headerFooter alignWithMargins="0">
    <oddHeader>&amp;C&amp;18Morton International, Inc., Newark Facility
NDPES Permit
Data Input for RPA</oddHeader>
    <oddFooter>&amp;CPage &amp;P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T316"/>
  <sheetViews>
    <sheetView zoomScale="75" zoomScaleNormal="75" workbookViewId="0" topLeftCell="A1">
      <pane xSplit="2" ySplit="3" topLeftCell="C4" activePane="bottomRight" state="frozen"/>
      <selection pane="topLeft" activeCell="N31" sqref="N31"/>
      <selection pane="topRight" activeCell="N31" sqref="N31"/>
      <selection pane="bottomLeft" activeCell="N31" sqref="N31"/>
      <selection pane="bottomRight" activeCell="D13" sqref="D13"/>
    </sheetView>
  </sheetViews>
  <sheetFormatPr defaultColWidth="9.140625" defaultRowHeight="12.75"/>
  <cols>
    <col min="2" max="2" width="20.8515625" style="0" customWidth="1"/>
    <col min="3" max="3" width="13.28125" style="0" customWidth="1"/>
    <col min="6" max="7" width="10.8515625" style="0" customWidth="1"/>
    <col min="8" max="8" width="25.57421875" style="0" customWidth="1"/>
    <col min="9" max="9" width="17.140625" style="1" customWidth="1"/>
    <col min="10" max="10" width="33.421875" style="0" customWidth="1"/>
    <col min="11" max="11" width="1.421875" style="0" customWidth="1"/>
    <col min="14" max="15" width="10.8515625" style="0" customWidth="1"/>
    <col min="16" max="16" width="25.57421875" style="0" customWidth="1"/>
    <col min="17" max="17" width="23.28125" style="12" customWidth="1"/>
    <col min="18" max="18" width="23.8515625" style="0" customWidth="1"/>
    <col min="19" max="19" width="14.8515625" style="0" customWidth="1"/>
    <col min="20" max="20" width="32.140625" style="0" bestFit="1" customWidth="1"/>
  </cols>
  <sheetData>
    <row r="1" spans="1:20" ht="17.25" thickBot="1" thickTop="1">
      <c r="A1" s="287" t="s">
        <v>0</v>
      </c>
      <c r="B1" s="288"/>
      <c r="C1" s="289"/>
      <c r="D1" s="290" t="s">
        <v>1</v>
      </c>
      <c r="E1" s="169" t="s">
        <v>2</v>
      </c>
      <c r="F1" s="170"/>
      <c r="G1" s="170"/>
      <c r="H1" s="170"/>
      <c r="I1" s="291"/>
      <c r="J1" s="170" t="s">
        <v>3</v>
      </c>
      <c r="K1" s="168"/>
      <c r="L1" s="168" t="s">
        <v>1</v>
      </c>
      <c r="M1" s="169" t="s">
        <v>2</v>
      </c>
      <c r="N1" s="170"/>
      <c r="O1" s="170" t="s">
        <v>4</v>
      </c>
      <c r="P1" s="170"/>
      <c r="Q1" s="170" t="s">
        <v>5</v>
      </c>
      <c r="R1" s="292" t="s">
        <v>249</v>
      </c>
      <c r="S1" s="170" t="s">
        <v>154</v>
      </c>
      <c r="T1" s="168"/>
    </row>
    <row r="2" spans="1:20" s="122" customFormat="1" ht="26.25" customHeight="1" thickBot="1">
      <c r="A2" s="592"/>
      <c r="B2" s="594" t="s">
        <v>6</v>
      </c>
      <c r="C2" s="115" t="s">
        <v>149</v>
      </c>
      <c r="D2" s="596" t="s">
        <v>152</v>
      </c>
      <c r="E2" s="585" t="s">
        <v>153</v>
      </c>
      <c r="F2" s="585" t="s">
        <v>243</v>
      </c>
      <c r="G2" s="585" t="s">
        <v>244</v>
      </c>
      <c r="H2" s="588" t="s">
        <v>240</v>
      </c>
      <c r="I2" s="28" t="s">
        <v>242</v>
      </c>
      <c r="J2" s="112" t="s">
        <v>245</v>
      </c>
      <c r="K2" s="112"/>
      <c r="L2" s="598" t="s">
        <v>254</v>
      </c>
      <c r="M2" s="585" t="s">
        <v>259</v>
      </c>
      <c r="N2" s="585" t="s">
        <v>243</v>
      </c>
      <c r="O2" s="585" t="s">
        <v>260</v>
      </c>
      <c r="P2" s="585" t="s">
        <v>261</v>
      </c>
      <c r="Q2" s="112" t="s">
        <v>247</v>
      </c>
      <c r="R2" s="590" t="s">
        <v>250</v>
      </c>
      <c r="S2" s="28"/>
      <c r="T2" s="2"/>
    </row>
    <row r="3" spans="1:20" s="122" customFormat="1" ht="64.5" customHeight="1" thickBot="1">
      <c r="A3" s="593"/>
      <c r="B3" s="595"/>
      <c r="C3" s="116" t="s">
        <v>186</v>
      </c>
      <c r="D3" s="597"/>
      <c r="E3" s="587"/>
      <c r="F3" s="587"/>
      <c r="G3" s="587"/>
      <c r="H3" s="589"/>
      <c r="I3" s="117" t="s">
        <v>241</v>
      </c>
      <c r="J3" s="118" t="s">
        <v>246</v>
      </c>
      <c r="K3" s="120"/>
      <c r="L3" s="599"/>
      <c r="M3" s="587"/>
      <c r="N3" s="587"/>
      <c r="O3" s="587"/>
      <c r="P3" s="586"/>
      <c r="Q3" s="119" t="s">
        <v>248</v>
      </c>
      <c r="R3" s="591"/>
      <c r="S3" s="120" t="s">
        <v>251</v>
      </c>
      <c r="T3" s="121" t="s">
        <v>238</v>
      </c>
    </row>
    <row r="4" spans="1:20" ht="13.5" thickTop="1">
      <c r="A4" s="3">
        <v>1</v>
      </c>
      <c r="B4" s="4" t="s">
        <v>23</v>
      </c>
      <c r="C4" s="99">
        <f>Criteria!C9</f>
        <v>4300</v>
      </c>
      <c r="D4" s="113" t="s">
        <v>24</v>
      </c>
      <c r="E4" s="113" t="str">
        <f>IF('data input for RPA'!D5="","",'data input for RPA'!D5)</f>
        <v>N</v>
      </c>
      <c r="F4" s="113">
        <f>IF('data input for RPA'!E5="","",'data input for RPA'!E5)</f>
      </c>
      <c r="G4" s="113">
        <f>IF('data input for RPA'!F5="","",'data input for RPA'!F5)</f>
        <v>71.1</v>
      </c>
      <c r="H4" s="10">
        <f>IF(C4="No Criteria","No Criteria",IF(D4="N","No effluent data",IF(E4="N","",IF(F4&lt;C4,"All ND, MDL&lt;C, MEC=MDL","All ND, MinDL&gt;C, Go to Step 5, &amp; IM"))))</f>
      </c>
      <c r="I4" s="114">
        <f aca="true" t="shared" si="0" ref="I4:I35">IF(C4="No Criteria","No Criteria",IF(D4="N","",IF(E4="N",G4,IF(H4="All ND, MDL&lt;C, MEC=MDL",F4,""))))</f>
        <v>71.1</v>
      </c>
      <c r="J4" s="114" t="str">
        <f aca="true" t="shared" si="1" ref="J4:J35">IF(C4="No Criteria","No Criteria",IF(I4="","",IF(I4&gt;=C4,"MEC&gt;=C, Effluent Limits Required","MEC&lt;C, go to Step 5")))</f>
        <v>MEC&lt;C, go to Step 5</v>
      </c>
      <c r="K4" s="114"/>
      <c r="L4" s="113" t="str">
        <f>IF('data input for RPA'!I5="","",'data input for RPA'!I5)</f>
        <v>Y</v>
      </c>
      <c r="M4" s="113" t="str">
        <f>IF('data input for RPA'!J5="","",'data input for RPA'!J5)</f>
        <v>N</v>
      </c>
      <c r="N4" s="113">
        <f>IF('data input for RPA'!K5="","",'data input for RPA'!K5)</f>
      </c>
      <c r="O4" s="113">
        <f>IF('data input for RPA'!L5="","",'data input for RPA'!L5)</f>
        <v>3.9</v>
      </c>
      <c r="P4" s="113">
        <f>IF(N4="","",IF(N4&gt;C4,"Y","N"))</f>
      </c>
      <c r="Q4" s="10" t="str">
        <f>IF(C4="No Criteria","No Criteria",IF(O4="","No detected value of B, Step 7",IF(O4&gt;C4,"B&gt;C, Effluent Limit Required","B&lt;C, Step 7")))</f>
        <v>B&lt;C, Step 7</v>
      </c>
      <c r="R4" s="113">
        <f>'data input for RPA'!O5</f>
      </c>
      <c r="S4" s="152" t="str">
        <f aca="true" t="shared" si="2" ref="S4:S26">IF(C4="No Criteria","Uo",IF(D4="N",IF(L4="N","Ud",IF(M4="Y","No",IF(O4&gt;C4,"Yes","Ud"))),IF(H4="All ND, MinDL&gt;C, Go to Step 5, &amp; IM",IF(L4="N","No",IF(M4="Y","No",IF(O4&gt;C4,"Yes","No"))),IF(I4="No Criteria","Uo",IF(I4&gt;C4,"Yes",IF(M4="N",IF(O4&gt;C4,"Yes","No"),"No"))))))</f>
        <v>No</v>
      </c>
      <c r="T4" s="153" t="str">
        <f>IF(C4="No Criteria","No Criteria",IF(D4="N",IF(L4="N","no effluent data &amp; no B",IF(M4="Y","Ud, no effluent data &amp; B is ND",IF(O4&gt;C4,"B&gt;C","no effluent data &amp; B&lt;C"))),IF(H4="All ND, MinDL&gt;C, Go to Step 5, &amp; IM",IF(L4="N","MDL&gt;C &amp; No B",IF(M4="Y","UD; effluent data and B are ND",IF(O4&gt;C4,"B&gt;C","UD; effluent data ND, MDL&gt;C &amp; B&lt;C"))),IF(I4="No Criteria","No Criteria",IF(I4&gt;C4,"MEC&gt;C",IF(M4="N",IF(O4&gt;C4,"B&gt;C","MEC&lt;C &amp; B&lt;C"),"Ud;MEC&lt;C &amp; B is ND"))))))</f>
        <v>MEC&lt;C &amp; B&lt;C</v>
      </c>
    </row>
    <row r="5" spans="1:20" ht="14.25">
      <c r="A5" s="7">
        <v>2</v>
      </c>
      <c r="B5" s="8" t="s">
        <v>138</v>
      </c>
      <c r="C5" s="99">
        <f>Criteria!C10</f>
        <v>36</v>
      </c>
      <c r="D5" s="113" t="str">
        <f>IF('data input for RPA'!C6="","",'data input for RPA'!C6)</f>
        <v>Y</v>
      </c>
      <c r="E5" s="113" t="str">
        <f>IF('data input for RPA'!D6="","",'data input for RPA'!D6)</f>
        <v>N</v>
      </c>
      <c r="F5" s="113">
        <f>IF('data input for RPA'!E6="","",'data input for RPA'!E6)</f>
      </c>
      <c r="G5" s="113">
        <f>IF('data input for RPA'!F6="","",'data input for RPA'!F6)</f>
        <v>13.3</v>
      </c>
      <c r="H5" s="10">
        <f aca="true" t="shared" si="3" ref="H5:H68">IF(C5="No Criteria","No Criteria",IF(D5="N","No effluent data",IF(E5="N","",IF(F5&lt;C5,"All ND, MDL&lt;C, MEC=MDL","All ND, MinDL&gt;C, Go to Step 5, &amp; IM"))))</f>
      </c>
      <c r="I5" s="114">
        <f t="shared" si="0"/>
        <v>13.3</v>
      </c>
      <c r="J5" s="10" t="str">
        <f t="shared" si="1"/>
        <v>MEC&lt;C, go to Step 5</v>
      </c>
      <c r="K5" s="114"/>
      <c r="L5" s="113" t="str">
        <f>IF('data input for RPA'!I6="","",'data input for RPA'!I6)</f>
        <v>Y</v>
      </c>
      <c r="M5" s="113" t="str">
        <f>IF('data input for RPA'!J6="","",'data input for RPA'!J6)</f>
        <v>N</v>
      </c>
      <c r="N5" s="113">
        <f>IF('data input for RPA'!K6="","",'data input for RPA'!K6)</f>
      </c>
      <c r="O5" s="113">
        <f>IF('data input for RPA'!L6="","",'data input for RPA'!L6)</f>
        <v>34.8</v>
      </c>
      <c r="P5" s="113">
        <f aca="true" t="shared" si="4" ref="P5:P68">IF(N5="","",IF(N5&gt;C5,"Y","N"))</f>
      </c>
      <c r="Q5" s="10" t="str">
        <f aca="true" t="shared" si="5" ref="Q5:Q68">IF(C5="No Criteria","No Criteria",IF(O5="","No detected value of B, Step 7",IF(O5&gt;C5,"B&gt;C, Effluent Limit Required","B&lt;C, Step 7")))</f>
        <v>B&lt;C, Step 7</v>
      </c>
      <c r="R5" s="113">
        <f>'data input for RPA'!O6</f>
      </c>
      <c r="S5" s="152" t="str">
        <f t="shared" si="2"/>
        <v>No</v>
      </c>
      <c r="T5" s="153" t="str">
        <f aca="true" t="shared" si="6" ref="T5:T68">IF(C5="No Criteria","No Criteria",IF(D5="N",IF(L5="N","no effluent data &amp; no B",IF(M5="Y","Ud, no effluent data &amp; B is ND",IF(O5&gt;C5,"B&gt;C","no effluent data &amp; B&lt;C"))),IF(H5="All ND, MinDL&gt;C, Go to Step 5, &amp; IM",IF(L5="N","MDL&gt;C &amp; No B",IF(M5="Y","UD; effluent data and B are ND",IF(O5&gt;C5,"B&gt;C","UD; effluent data ND, MDL&gt;C &amp; B&lt;C"))),IF(I5="No Criteria","No Criteria",IF(I5&gt;C5,"MEC&gt;C",IF(M5="N",IF(O5&gt;C5,"B&gt;C","MEC&lt;C &amp; B&lt;C"),"Ud;MEC&lt;C &amp; B is ND"))))))</f>
        <v>MEC&lt;C &amp; B&lt;C</v>
      </c>
    </row>
    <row r="6" spans="1:20" ht="12.75">
      <c r="A6" s="7">
        <v>3</v>
      </c>
      <c r="B6" s="8" t="s">
        <v>26</v>
      </c>
      <c r="C6" s="99" t="str">
        <f>Criteria!C11</f>
        <v>No Criteria</v>
      </c>
      <c r="D6" s="113" t="s">
        <v>24</v>
      </c>
      <c r="E6" s="113" t="str">
        <f>IF('data input for RPA'!D7="","",'data input for RPA'!D7)</f>
        <v>Y</v>
      </c>
      <c r="F6" s="113">
        <f>IF('data input for RPA'!E7="","",'data input for RPA'!E7)</f>
        <v>0.1</v>
      </c>
      <c r="G6" s="113">
        <f>IF('data input for RPA'!F7="","",'data input for RPA'!F7)</f>
      </c>
      <c r="H6" s="10" t="str">
        <f t="shared" si="3"/>
        <v>No Criteria</v>
      </c>
      <c r="I6" s="114" t="str">
        <f t="shared" si="0"/>
        <v>No Criteria</v>
      </c>
      <c r="J6" s="10" t="str">
        <f t="shared" si="1"/>
        <v>No Criteria</v>
      </c>
      <c r="K6" s="114"/>
      <c r="L6" s="113" t="str">
        <f>IF('data input for RPA'!I7="","",'data input for RPA'!I7)</f>
        <v>Y</v>
      </c>
      <c r="M6" s="113" t="str">
        <f>IF('data input for RPA'!J7="","",'data input for RPA'!J7)</f>
        <v>Y</v>
      </c>
      <c r="N6" s="113">
        <f>IF('data input for RPA'!K7="","",'data input for RPA'!K7)</f>
        <v>0.1</v>
      </c>
      <c r="O6" s="113">
        <f>IF('data input for RPA'!L7="","",'data input for RPA'!L7)</f>
      </c>
      <c r="P6" s="113" t="str">
        <f t="shared" si="4"/>
        <v>N</v>
      </c>
      <c r="Q6" s="10" t="str">
        <f t="shared" si="5"/>
        <v>No Criteria</v>
      </c>
      <c r="R6" s="113" t="str">
        <f>'data input for RPA'!O7</f>
        <v>No Criteria</v>
      </c>
      <c r="S6" s="152" t="str">
        <f t="shared" si="2"/>
        <v>Uo</v>
      </c>
      <c r="T6" s="153" t="str">
        <f t="shared" si="6"/>
        <v>No Criteria</v>
      </c>
    </row>
    <row r="7" spans="1:20" ht="14.25">
      <c r="A7" s="7">
        <v>4</v>
      </c>
      <c r="B7" s="8" t="s">
        <v>139</v>
      </c>
      <c r="C7" s="101">
        <f>Criteria!C12</f>
        <v>7.311862010973469</v>
      </c>
      <c r="D7" s="113" t="str">
        <f>IF('data input for RPA'!C8="","",'data input for RPA'!C8)</f>
        <v>Y</v>
      </c>
      <c r="E7" s="113" t="str">
        <f>IF('data input for RPA'!D8="","",'data input for RPA'!D8)</f>
        <v>Y</v>
      </c>
      <c r="F7" s="113">
        <f>IF('data input for RPA'!E8="","",'data input for RPA'!E8)</f>
        <v>0.02</v>
      </c>
      <c r="G7" s="113">
        <f>IF('data input for RPA'!F8="","",'data input for RPA'!F8)</f>
      </c>
      <c r="H7" s="10" t="str">
        <f t="shared" si="3"/>
        <v>All ND, MDL&lt;C, MEC=MDL</v>
      </c>
      <c r="I7" s="114">
        <f t="shared" si="0"/>
        <v>0.02</v>
      </c>
      <c r="J7" s="10" t="str">
        <f t="shared" si="1"/>
        <v>MEC&lt;C, go to Step 5</v>
      </c>
      <c r="K7" s="114"/>
      <c r="L7" s="113" t="str">
        <f>IF('data input for RPA'!I8="","",'data input for RPA'!I8)</f>
        <v>Y</v>
      </c>
      <c r="M7" s="113" t="str">
        <f>IF('data input for RPA'!J8="","",'data input for RPA'!J8)</f>
        <v>Y</v>
      </c>
      <c r="N7" s="113">
        <f>IF('data input for RPA'!K8="","",'data input for RPA'!K8)</f>
        <v>0.02</v>
      </c>
      <c r="O7" s="113">
        <f>IF('data input for RPA'!L8="","",'data input for RPA'!L8)</f>
      </c>
      <c r="P7" s="113" t="str">
        <f t="shared" si="4"/>
        <v>N</v>
      </c>
      <c r="Q7" s="10" t="str">
        <f t="shared" si="5"/>
        <v>No detected value of B, Step 7</v>
      </c>
      <c r="R7" s="113">
        <f>'data input for RPA'!O8</f>
      </c>
      <c r="S7" s="152" t="str">
        <f t="shared" si="2"/>
        <v>No</v>
      </c>
      <c r="T7" s="153" t="str">
        <f t="shared" si="6"/>
        <v>Ud;MEC&lt;C &amp; B is ND</v>
      </c>
    </row>
    <row r="8" spans="1:20" s="17" customFormat="1" ht="12.75">
      <c r="A8" s="7" t="s">
        <v>27</v>
      </c>
      <c r="B8" s="33" t="s">
        <v>28</v>
      </c>
      <c r="C8" s="101">
        <f>Criteria!C13</f>
        <v>644.2001463521674</v>
      </c>
      <c r="D8" s="154" t="str">
        <f>IF('data input for RPA'!C9="","",'data input for RPA'!C9)</f>
        <v>N</v>
      </c>
      <c r="E8" s="154">
        <f>IF('data input for RPA'!D9="","",'data input for RPA'!D9)</f>
      </c>
      <c r="F8" s="113">
        <f>IF('data input for RPA'!E9="","",'data input for RPA'!E9)</f>
      </c>
      <c r="G8" s="113">
        <f>IF('data input for RPA'!F9="","",'data input for RPA'!F9)</f>
      </c>
      <c r="H8" s="155" t="str">
        <f t="shared" si="3"/>
        <v>No effluent data</v>
      </c>
      <c r="I8" s="156">
        <f t="shared" si="0"/>
      </c>
      <c r="J8" s="155">
        <f t="shared" si="1"/>
      </c>
      <c r="K8" s="156"/>
      <c r="L8" s="113" t="str">
        <f>IF('data input for RPA'!I9="","",'data input for RPA'!I9)</f>
        <v>N</v>
      </c>
      <c r="M8" s="113">
        <f>IF('data input for RPA'!J9="","",'data input for RPA'!J9)</f>
      </c>
      <c r="N8" s="113">
        <f>IF('data input for RPA'!K9="","",'data input for RPA'!K9)</f>
      </c>
      <c r="O8" s="113">
        <f>IF('data input for RPA'!L9="","",'data input for RPA'!L9)</f>
      </c>
      <c r="P8" s="113">
        <f t="shared" si="4"/>
      </c>
      <c r="Q8" s="10" t="str">
        <f t="shared" si="5"/>
        <v>No detected value of B, Step 7</v>
      </c>
      <c r="R8" s="154">
        <f>'data input for RPA'!O9</f>
      </c>
      <c r="S8" s="354" t="str">
        <f t="shared" si="2"/>
        <v>Ud</v>
      </c>
      <c r="T8" s="153" t="str">
        <f t="shared" si="6"/>
        <v>no effluent data &amp; no B</v>
      </c>
    </row>
    <row r="9" spans="1:20" ht="14.25">
      <c r="A9" s="7" t="s">
        <v>29</v>
      </c>
      <c r="B9" s="8" t="s">
        <v>148</v>
      </c>
      <c r="C9" s="101">
        <f>Criteria!C14</f>
        <v>11</v>
      </c>
      <c r="D9" s="113" t="str">
        <f>IF('data input for RPA'!C10="","",'data input for RPA'!C10)</f>
        <v>Y</v>
      </c>
      <c r="E9" s="113" t="str">
        <f>IF('data input for RPA'!D10="","",'data input for RPA'!D10)</f>
        <v>Y</v>
      </c>
      <c r="F9" s="113">
        <f>IF('data input for RPA'!E10="","",'data input for RPA'!E10)</f>
        <v>2</v>
      </c>
      <c r="G9" s="113">
        <f>IF('data input for RPA'!F10="","",'data input for RPA'!F10)</f>
      </c>
      <c r="H9" s="10" t="str">
        <f t="shared" si="3"/>
        <v>All ND, MDL&lt;C, MEC=MDL</v>
      </c>
      <c r="I9" s="114">
        <f t="shared" si="0"/>
        <v>2</v>
      </c>
      <c r="J9" s="10" t="str">
        <f t="shared" si="1"/>
        <v>MEC&lt;C, go to Step 5</v>
      </c>
      <c r="K9" s="114"/>
      <c r="L9" s="113" t="str">
        <f>IF('data input for RPA'!I10="","",'data input for RPA'!I10)</f>
        <v>Y</v>
      </c>
      <c r="M9" s="113" t="str">
        <f>IF('data input for RPA'!J10="","",'data input for RPA'!J10)</f>
        <v>Y</v>
      </c>
      <c r="N9" s="113">
        <f>IF('data input for RPA'!K10="","",'data input for RPA'!K10)</f>
        <v>2</v>
      </c>
      <c r="O9" s="113">
        <f>IF('data input for RPA'!L10="","",'data input for RPA'!L10)</f>
      </c>
      <c r="P9" s="113" t="str">
        <f t="shared" si="4"/>
        <v>N</v>
      </c>
      <c r="Q9" s="10" t="str">
        <f t="shared" si="5"/>
        <v>No detected value of B, Step 7</v>
      </c>
      <c r="R9" s="113">
        <f>'data input for RPA'!O10</f>
      </c>
      <c r="S9" s="354" t="str">
        <f t="shared" si="2"/>
        <v>No</v>
      </c>
      <c r="T9" s="153" t="str">
        <f t="shared" si="6"/>
        <v>Ud;MEC&lt;C &amp; B is ND</v>
      </c>
    </row>
    <row r="10" spans="1:20" ht="14.25">
      <c r="A10" s="7">
        <v>6</v>
      </c>
      <c r="B10" s="11" t="s">
        <v>309</v>
      </c>
      <c r="C10" s="101">
        <f>Criteria!C15</f>
        <v>13.018867924528301</v>
      </c>
      <c r="D10" s="113" t="str">
        <f>IF('data input for RPA'!C11="","",'data input for RPA'!C11)</f>
        <v>Y</v>
      </c>
      <c r="E10" s="113" t="str">
        <f>IF('data input for RPA'!D11="","",'data input for RPA'!D11)</f>
        <v>N</v>
      </c>
      <c r="F10" s="113">
        <f>IF('data input for RPA'!E11="","",'data input for RPA'!E11)</f>
      </c>
      <c r="G10" s="113">
        <f>IF('data input for RPA'!F11="","",'data input for RPA'!F11)</f>
        <v>46.1</v>
      </c>
      <c r="H10" s="10">
        <f t="shared" si="3"/>
      </c>
      <c r="I10" s="114">
        <f t="shared" si="0"/>
        <v>46.1</v>
      </c>
      <c r="J10" s="10" t="str">
        <f t="shared" si="1"/>
        <v>MEC&gt;=C, Effluent Limits Required</v>
      </c>
      <c r="K10" s="114"/>
      <c r="L10" s="113" t="str">
        <f>IF('data input for RPA'!I11="","",'data input for RPA'!I11)</f>
        <v>Y</v>
      </c>
      <c r="M10" s="113" t="str">
        <f>IF('data input for RPA'!J11="","",'data input for RPA'!J11)</f>
        <v>N</v>
      </c>
      <c r="N10" s="113">
        <f>IF('data input for RPA'!K11="","",'data input for RPA'!K11)</f>
      </c>
      <c r="O10" s="113">
        <f>IF('data input for RPA'!L11="","",'data input for RPA'!L11)</f>
        <v>57.7</v>
      </c>
      <c r="P10" s="113">
        <f t="shared" si="4"/>
      </c>
      <c r="Q10" s="10" t="str">
        <f t="shared" si="5"/>
        <v>B&gt;C, Effluent Limit Required</v>
      </c>
      <c r="R10" s="113">
        <f>'data input for RPA'!O11</f>
      </c>
      <c r="S10" s="335" t="str">
        <f t="shared" si="2"/>
        <v>Yes</v>
      </c>
      <c r="T10" s="153" t="str">
        <f t="shared" si="6"/>
        <v>MEC&gt;C</v>
      </c>
    </row>
    <row r="11" spans="1:20" ht="14.25">
      <c r="A11" s="7">
        <v>7</v>
      </c>
      <c r="B11" s="8" t="s">
        <v>140</v>
      </c>
      <c r="C11" s="101">
        <f>Criteria!C16</f>
        <v>8.517350157728707</v>
      </c>
      <c r="D11" s="113" t="str">
        <f>IF('data input for RPA'!C12="","",'data input for RPA'!C12)</f>
        <v>Y</v>
      </c>
      <c r="E11" s="113" t="str">
        <f>IF('data input for RPA'!D12="","",'data input for RPA'!D12)</f>
        <v>N</v>
      </c>
      <c r="F11" s="113">
        <f>IF('data input for RPA'!E12="","",'data input for RPA'!E12)</f>
      </c>
      <c r="G11" s="113">
        <f>IF('data input for RPA'!F12="","",'data input for RPA'!F12)</f>
        <v>110</v>
      </c>
      <c r="H11" s="10">
        <f t="shared" si="3"/>
      </c>
      <c r="I11" s="114">
        <f t="shared" si="0"/>
        <v>110</v>
      </c>
      <c r="J11" s="10" t="str">
        <f t="shared" si="1"/>
        <v>MEC&gt;=C, Effluent Limits Required</v>
      </c>
      <c r="K11" s="114"/>
      <c r="L11" s="113" t="str">
        <f>IF('data input for RPA'!I12="","",'data input for RPA'!I12)</f>
        <v>Y</v>
      </c>
      <c r="M11" s="113" t="str">
        <f>IF('data input for RPA'!J12="","",'data input for RPA'!J12)</f>
        <v>N</v>
      </c>
      <c r="N11" s="113">
        <f>IF('data input for RPA'!K12="","",'data input for RPA'!K12)</f>
      </c>
      <c r="O11" s="113">
        <f>IF('data input for RPA'!L12="","",'data input for RPA'!L12)</f>
        <v>4.6</v>
      </c>
      <c r="P11" s="113">
        <f t="shared" si="4"/>
      </c>
      <c r="Q11" s="10" t="str">
        <f t="shared" si="5"/>
        <v>B&lt;C, Step 7</v>
      </c>
      <c r="R11" s="113">
        <f>'data input for RPA'!O12</f>
      </c>
      <c r="S11" s="335" t="str">
        <f t="shared" si="2"/>
        <v>Yes</v>
      </c>
      <c r="T11" s="153" t="str">
        <f t="shared" si="6"/>
        <v>MEC&gt;C</v>
      </c>
    </row>
    <row r="12" spans="1:20" ht="14.25">
      <c r="A12" s="7">
        <v>8</v>
      </c>
      <c r="B12" s="11" t="s">
        <v>141</v>
      </c>
      <c r="C12" s="102">
        <f>Criteria!C17</f>
        <v>0.051</v>
      </c>
      <c r="D12" s="113" t="str">
        <f>IF('data input for RPA'!C13="","",'data input for RPA'!C13)</f>
        <v>Y</v>
      </c>
      <c r="E12" s="113" t="str">
        <f>IF('data input for RPA'!D13="","",'data input for RPA'!D13)</f>
        <v>N</v>
      </c>
      <c r="F12" s="113">
        <f>IF('data input for RPA'!E13="","",'data input for RPA'!E13)</f>
      </c>
      <c r="G12" s="113">
        <f>IF('data input for RPA'!F13="","",'data input for RPA'!F13)</f>
        <v>0.0051</v>
      </c>
      <c r="H12" s="10">
        <f t="shared" si="3"/>
      </c>
      <c r="I12" s="114">
        <f t="shared" si="0"/>
        <v>0.0051</v>
      </c>
      <c r="J12" s="10" t="str">
        <f t="shared" si="1"/>
        <v>MEC&lt;C, go to Step 5</v>
      </c>
      <c r="K12" s="114"/>
      <c r="L12" s="113" t="str">
        <f>IF('data input for RPA'!I13="","",'data input for RPA'!I13)</f>
        <v>Y</v>
      </c>
      <c r="M12" s="113" t="str">
        <f>IF('data input for RPA'!J13="","",'data input for RPA'!J13)</f>
        <v>N</v>
      </c>
      <c r="N12" s="113">
        <f>IF('data input for RPA'!K13="","",'data input for RPA'!K13)</f>
      </c>
      <c r="O12" s="113">
        <f>IF('data input for RPA'!L13="","",'data input for RPA'!L13)</f>
        <v>0.0136</v>
      </c>
      <c r="P12" s="113">
        <f t="shared" si="4"/>
      </c>
      <c r="Q12" s="10" t="str">
        <f t="shared" si="5"/>
        <v>B&lt;C, Step 7</v>
      </c>
      <c r="R12" s="113">
        <f>'data input for RPA'!O13</f>
      </c>
      <c r="S12" s="354" t="s">
        <v>284</v>
      </c>
      <c r="T12" s="153" t="s">
        <v>315</v>
      </c>
    </row>
    <row r="13" spans="1:20" ht="14.25">
      <c r="A13" s="7">
        <v>9</v>
      </c>
      <c r="B13" s="32" t="s">
        <v>142</v>
      </c>
      <c r="C13" s="101">
        <f>Criteria!C18</f>
        <v>27.045454545454547</v>
      </c>
      <c r="D13" s="113" t="str">
        <f>IF('data input for RPA'!C14="","",'data input for RPA'!C14)</f>
        <v>Y</v>
      </c>
      <c r="E13" s="113" t="str">
        <f>IF('data input for RPA'!D14="","",'data input for RPA'!D14)</f>
        <v>N</v>
      </c>
      <c r="F13" s="113">
        <f>IF('data input for RPA'!E14="","",'data input for RPA'!E14)</f>
      </c>
      <c r="G13" s="113">
        <f>IF('data input for RPA'!F14="","",'data input for RPA'!F14)</f>
        <v>20</v>
      </c>
      <c r="H13" s="10">
        <f t="shared" si="3"/>
      </c>
      <c r="I13" s="114">
        <f t="shared" si="0"/>
        <v>20</v>
      </c>
      <c r="J13" s="10" t="str">
        <f t="shared" si="1"/>
        <v>MEC&lt;C, go to Step 5</v>
      </c>
      <c r="K13" s="114"/>
      <c r="L13" s="113" t="str">
        <f>IF('data input for RPA'!I14="","",'data input for RPA'!I14)</f>
        <v>Y</v>
      </c>
      <c r="M13" s="113" t="str">
        <f>IF('data input for RPA'!J14="","",'data input for RPA'!J14)</f>
        <v>N</v>
      </c>
      <c r="N13" s="113">
        <f>IF('data input for RPA'!K14="","",'data input for RPA'!K14)</f>
      </c>
      <c r="O13" s="113">
        <f>IF('data input for RPA'!L14="","",'data input for RPA'!L14)</f>
        <v>16</v>
      </c>
      <c r="P13" s="113">
        <f t="shared" si="4"/>
      </c>
      <c r="Q13" s="10" t="str">
        <f t="shared" si="5"/>
        <v>B&lt;C, Step 7</v>
      </c>
      <c r="R13" s="113">
        <f>'data input for RPA'!O14</f>
      </c>
      <c r="S13" s="152" t="str">
        <f t="shared" si="2"/>
        <v>No</v>
      </c>
      <c r="T13" s="153" t="str">
        <f t="shared" si="6"/>
        <v>MEC&lt;C &amp; B&lt;C</v>
      </c>
    </row>
    <row r="14" spans="1:20" ht="14.25">
      <c r="A14" s="7">
        <v>10</v>
      </c>
      <c r="B14" s="11" t="s">
        <v>146</v>
      </c>
      <c r="C14" s="101">
        <f>Criteria!C19</f>
        <v>5</v>
      </c>
      <c r="D14" s="113" t="str">
        <f>IF('data input for RPA'!C15="","",'data input for RPA'!C15)</f>
        <v>Y</v>
      </c>
      <c r="E14" s="113" t="str">
        <f>IF('data input for RPA'!D15="","",'data input for RPA'!D15)</f>
        <v>N</v>
      </c>
      <c r="F14" s="113">
        <f>IF('data input for RPA'!E15="","",'data input for RPA'!E15)</f>
      </c>
      <c r="G14" s="113">
        <f>IF('data input for RPA'!F15="","",'data input for RPA'!F15)</f>
        <v>41</v>
      </c>
      <c r="H14" s="10">
        <f t="shared" si="3"/>
      </c>
      <c r="I14" s="114">
        <f t="shared" si="0"/>
        <v>41</v>
      </c>
      <c r="J14" s="10" t="str">
        <f t="shared" si="1"/>
        <v>MEC&gt;=C, Effluent Limits Required</v>
      </c>
      <c r="K14" s="114"/>
      <c r="L14" s="113" t="str">
        <f>IF('data input for RPA'!I15="","",'data input for RPA'!I15)</f>
        <v>Y</v>
      </c>
      <c r="M14" s="113" t="str">
        <f>IF('data input for RPA'!J15="","",'data input for RPA'!J15)</f>
        <v>N</v>
      </c>
      <c r="N14" s="113">
        <f>IF('data input for RPA'!K15="","",'data input for RPA'!K15)</f>
      </c>
      <c r="O14" s="113">
        <f>IF('data input for RPA'!L15="","",'data input for RPA'!L15)</f>
        <v>144</v>
      </c>
      <c r="P14" s="113">
        <f t="shared" si="4"/>
      </c>
      <c r="Q14" s="10" t="str">
        <f t="shared" si="5"/>
        <v>B&gt;C, Effluent Limit Required</v>
      </c>
      <c r="R14" s="113">
        <f>'data input for RPA'!O15</f>
      </c>
      <c r="S14" s="335" t="str">
        <f t="shared" si="2"/>
        <v>Yes</v>
      </c>
      <c r="T14" s="153" t="str">
        <f t="shared" si="6"/>
        <v>MEC&gt;C</v>
      </c>
    </row>
    <row r="15" spans="1:20" ht="14.25">
      <c r="A15" s="7">
        <v>11</v>
      </c>
      <c r="B15" s="33" t="s">
        <v>143</v>
      </c>
      <c r="C15" s="101">
        <f>Criteria!C20</f>
        <v>2.2</v>
      </c>
      <c r="D15" s="113" t="str">
        <f>IF('data input for RPA'!C16="","",'data input for RPA'!C16)</f>
        <v>Y</v>
      </c>
      <c r="E15" s="113" t="str">
        <f>IF('data input for RPA'!D16="","",'data input for RPA'!D16)</f>
        <v>N</v>
      </c>
      <c r="F15" s="113">
        <f>IF('data input for RPA'!E16="","",'data input for RPA'!E16)</f>
      </c>
      <c r="G15" s="113">
        <f>IF('data input for RPA'!F16="","",'data input for RPA'!F16)</f>
        <v>1.55</v>
      </c>
      <c r="H15" s="10">
        <f t="shared" si="3"/>
      </c>
      <c r="I15" s="114">
        <f t="shared" si="0"/>
        <v>1.55</v>
      </c>
      <c r="J15" s="10" t="str">
        <f t="shared" si="1"/>
        <v>MEC&lt;C, go to Step 5</v>
      </c>
      <c r="K15" s="114"/>
      <c r="L15" s="113" t="str">
        <f>IF('data input for RPA'!I16="","",'data input for RPA'!I16)</f>
        <v>Y</v>
      </c>
      <c r="M15" s="113" t="str">
        <f>IF('data input for RPA'!J16="","",'data input for RPA'!J16)</f>
        <v>Y</v>
      </c>
      <c r="N15" s="113">
        <f>IF('data input for RPA'!K16="","",'data input for RPA'!K16)</f>
        <v>0.08</v>
      </c>
      <c r="O15" s="113">
        <f>IF('data input for RPA'!L16="","",'data input for RPA'!L16)</f>
      </c>
      <c r="P15" s="113" t="str">
        <f t="shared" si="4"/>
        <v>N</v>
      </c>
      <c r="Q15" s="10" t="str">
        <f t="shared" si="5"/>
        <v>No detected value of B, Step 7</v>
      </c>
      <c r="R15" s="113">
        <f>'data input for RPA'!O16</f>
      </c>
      <c r="S15" s="152" t="str">
        <f t="shared" si="2"/>
        <v>No</v>
      </c>
      <c r="T15" s="153" t="str">
        <f t="shared" si="6"/>
        <v>Ud;MEC&lt;C &amp; B is ND</v>
      </c>
    </row>
    <row r="16" spans="1:20" s="17" customFormat="1" ht="12.75">
      <c r="A16" s="7">
        <v>12</v>
      </c>
      <c r="B16" s="33" t="s">
        <v>30</v>
      </c>
      <c r="C16" s="101">
        <f>Criteria!C21</f>
        <v>6.3</v>
      </c>
      <c r="D16" s="154" t="s">
        <v>24</v>
      </c>
      <c r="E16" s="154" t="str">
        <f>IF('data input for RPA'!D17="","",'data input for RPA'!D17)</f>
        <v>N</v>
      </c>
      <c r="F16" s="113">
        <f>IF('data input for RPA'!E17="","",'data input for RPA'!E17)</f>
      </c>
      <c r="G16" s="113">
        <f>IF('data input for RPA'!F17="","",'data input for RPA'!F17)</f>
        <v>0.3</v>
      </c>
      <c r="H16" s="155">
        <f t="shared" si="3"/>
      </c>
      <c r="I16" s="156">
        <f t="shared" si="0"/>
        <v>0.3</v>
      </c>
      <c r="J16" s="155" t="str">
        <f t="shared" si="1"/>
        <v>MEC&lt;C, go to Step 5</v>
      </c>
      <c r="K16" s="156"/>
      <c r="L16" s="113" t="str">
        <f>IF('data input for RPA'!I17="","",'data input for RPA'!I17)</f>
        <v>Y</v>
      </c>
      <c r="M16" s="113" t="str">
        <f>IF('data input for RPA'!J17="","",'data input for RPA'!J17)</f>
        <v>N</v>
      </c>
      <c r="N16" s="113">
        <f>IF('data input for RPA'!K17="","",'data input for RPA'!K17)</f>
      </c>
      <c r="O16" s="113">
        <f>IF('data input for RPA'!L17="","",'data input for RPA'!L17)</f>
        <v>0.17</v>
      </c>
      <c r="P16" s="113">
        <f t="shared" si="4"/>
      </c>
      <c r="Q16" s="10" t="str">
        <f t="shared" si="5"/>
        <v>B&lt;C, Step 7</v>
      </c>
      <c r="R16" s="154">
        <f>'data input for RPA'!O17</f>
      </c>
      <c r="S16" s="152" t="str">
        <f t="shared" si="2"/>
        <v>No</v>
      </c>
      <c r="T16" s="153" t="str">
        <f t="shared" si="6"/>
        <v>MEC&lt;C &amp; B&lt;C</v>
      </c>
    </row>
    <row r="17" spans="1:20" ht="14.25">
      <c r="A17" s="7">
        <v>13</v>
      </c>
      <c r="B17" s="11" t="s">
        <v>144</v>
      </c>
      <c r="C17" s="101">
        <f>Criteria!C22</f>
        <v>90.90909090909092</v>
      </c>
      <c r="D17" s="113" t="str">
        <f>IF('data input for RPA'!C18="","",'data input for RPA'!C18)</f>
        <v>Y</v>
      </c>
      <c r="E17" s="113" t="str">
        <f>IF('data input for RPA'!D18="","",'data input for RPA'!D18)</f>
        <v>N</v>
      </c>
      <c r="F17" s="113">
        <f>IF('data input for RPA'!E18="","",'data input for RPA'!E18)</f>
      </c>
      <c r="G17" s="113">
        <f>IF('data input for RPA'!F18="","",'data input for RPA'!F18)</f>
        <v>113</v>
      </c>
      <c r="H17" s="10">
        <f t="shared" si="3"/>
      </c>
      <c r="I17" s="114">
        <f t="shared" si="0"/>
        <v>113</v>
      </c>
      <c r="J17" s="10" t="str">
        <f t="shared" si="1"/>
        <v>MEC&gt;=C, Effluent Limits Required</v>
      </c>
      <c r="K17" s="114"/>
      <c r="L17" s="113" t="str">
        <f>IF('data input for RPA'!I18="","",'data input for RPA'!I18)</f>
        <v>Y</v>
      </c>
      <c r="M17" s="113" t="str">
        <f>IF('data input for RPA'!J18="","",'data input for RPA'!J18)</f>
        <v>N</v>
      </c>
      <c r="N17" s="113">
        <f>IF('data input for RPA'!K18="","",'data input for RPA'!K18)</f>
      </c>
      <c r="O17" s="113">
        <f>IF('data input for RPA'!L18="","",'data input for RPA'!L18)</f>
        <v>117</v>
      </c>
      <c r="P17" s="113">
        <f t="shared" si="4"/>
      </c>
      <c r="Q17" s="10" t="str">
        <f t="shared" si="5"/>
        <v>B&gt;C, Effluent Limit Required</v>
      </c>
      <c r="R17" s="113">
        <f>'data input for RPA'!O18</f>
      </c>
      <c r="S17" s="335" t="str">
        <f t="shared" si="2"/>
        <v>Yes</v>
      </c>
      <c r="T17" s="153" t="str">
        <f t="shared" si="6"/>
        <v>MEC&gt;C</v>
      </c>
    </row>
    <row r="18" spans="1:20" ht="14.25">
      <c r="A18" s="7">
        <v>14</v>
      </c>
      <c r="B18" s="11" t="s">
        <v>145</v>
      </c>
      <c r="C18" s="101">
        <f>Criteria!C23</f>
        <v>1</v>
      </c>
      <c r="D18" s="113" t="str">
        <f>IF('data input for RPA'!C19="","",'data input for RPA'!C19)</f>
        <v>Y</v>
      </c>
      <c r="E18" s="113" t="str">
        <f>IF('data input for RPA'!D19="","",'data input for RPA'!D19)</f>
        <v>Y</v>
      </c>
      <c r="F18" s="113">
        <f>IF('data input for RPA'!E19="","",'data input for RPA'!E19)</f>
        <v>2</v>
      </c>
      <c r="G18" s="113">
        <f>IF('data input for RPA'!F19="","",'data input for RPA'!F19)</f>
      </c>
      <c r="H18" s="10" t="str">
        <f t="shared" si="3"/>
        <v>All ND, MinDL&gt;C, Go to Step 5, &amp; IM</v>
      </c>
      <c r="I18" s="114">
        <f>IF(C18="No Criteria","No Criteria",IF(D18="N","",IF(E18="N",G18,IF(H18="All ND, MDL&lt;C, MEC=MDL",F18,""))))</f>
      </c>
      <c r="J18" s="10">
        <f>IF(C18="No Criteria","No Criteria",IF(I18="","",IF(I18&gt;=C18,"MEC&gt;=C, Effluent Limits Required","MEC&lt;C, go to Step 5")))</f>
      </c>
      <c r="K18" s="114"/>
      <c r="L18" s="113" t="str">
        <f>IF('data input for RPA'!I19="","",'data input for RPA'!I19)</f>
        <v>Y</v>
      </c>
      <c r="M18" s="113" t="str">
        <f>IF('data input for RPA'!J19="","",'data input for RPA'!J19)</f>
        <v>N</v>
      </c>
      <c r="N18" s="113">
        <f>IF('data input for RPA'!K19="","",'data input for RPA'!K19)</f>
      </c>
      <c r="O18" s="113">
        <f>IF('data input for RPA'!L19="","",'data input for RPA'!L19)</f>
        <v>30</v>
      </c>
      <c r="P18" s="113">
        <f t="shared" si="4"/>
      </c>
      <c r="Q18" s="10" t="str">
        <f t="shared" si="5"/>
        <v>B&gt;C, Effluent Limit Required</v>
      </c>
      <c r="R18" s="113">
        <f>'data input for RPA'!O19</f>
      </c>
      <c r="S18" s="335" t="str">
        <f t="shared" si="2"/>
        <v>Yes</v>
      </c>
      <c r="T18" s="153" t="str">
        <f t="shared" si="6"/>
        <v>B&gt;C</v>
      </c>
    </row>
    <row r="19" spans="1:20" ht="12.75">
      <c r="A19" s="7">
        <v>15</v>
      </c>
      <c r="B19" s="8" t="s">
        <v>31</v>
      </c>
      <c r="C19" s="99" t="str">
        <f>Criteria!C24</f>
        <v>No Criteria</v>
      </c>
      <c r="D19" s="113" t="str">
        <f>IF('data input for RPA'!C20="","",'data input for RPA'!C20)</f>
        <v>N</v>
      </c>
      <c r="E19" s="113">
        <f>IF('data input for RPA'!D20="","",'data input for RPA'!D20)</f>
      </c>
      <c r="F19" s="113">
        <f>IF('data input for RPA'!E20="","",'data input for RPA'!E20)</f>
      </c>
      <c r="G19" s="113">
        <f>IF('data input for RPA'!F20="","",'data input for RPA'!F20)</f>
      </c>
      <c r="H19" s="10" t="str">
        <f t="shared" si="3"/>
        <v>No Criteria</v>
      </c>
      <c r="I19" s="114" t="str">
        <f>IF(C19="No Criteria","No Criteria",IF(D19="N","",IF(E19="N",G19,IF(H19="All ND, MDL&lt;C, MEC=MDL",F19,""))))</f>
        <v>No Criteria</v>
      </c>
      <c r="J19" s="10" t="str">
        <f>IF(C19="No Criteria","No Criteria",IF(I19="","",IF(I19&gt;=C19,"MEC&gt;=C, Effluent Limits Required","MEC&lt;C, go to Step 5")))</f>
        <v>No Criteria</v>
      </c>
      <c r="K19" s="114"/>
      <c r="L19" s="113" t="str">
        <f>IF('data input for RPA'!I20="","",'data input for RPA'!I20)</f>
        <v>N</v>
      </c>
      <c r="M19" s="113">
        <f>IF('data input for RPA'!J20="","",'data input for RPA'!J20)</f>
      </c>
      <c r="N19" s="113">
        <f>IF('data input for RPA'!K20="","",'data input for RPA'!K20)</f>
      </c>
      <c r="O19" s="113">
        <f>IF('data input for RPA'!L20="","",'data input for RPA'!L20)</f>
      </c>
      <c r="P19" s="113">
        <f t="shared" si="4"/>
      </c>
      <c r="Q19" s="10" t="str">
        <f t="shared" si="5"/>
        <v>No Criteria</v>
      </c>
      <c r="R19" s="113" t="str">
        <f>'data input for RPA'!O20</f>
        <v>No Criteria</v>
      </c>
      <c r="S19" s="152" t="str">
        <f t="shared" si="2"/>
        <v>Uo</v>
      </c>
      <c r="T19" s="153" t="str">
        <f t="shared" si="6"/>
        <v>No Criteria</v>
      </c>
    </row>
    <row r="20" spans="1:20" ht="12.75">
      <c r="A20" s="13"/>
      <c r="B20" s="14" t="s">
        <v>296</v>
      </c>
      <c r="C20" s="103">
        <f>Criteria!C25</f>
        <v>1.4E-08</v>
      </c>
      <c r="D20" s="113" t="str">
        <f>IF('data input for RPA'!C21="","",'data input for RPA'!C21)</f>
        <v>Y</v>
      </c>
      <c r="E20" s="113" t="str">
        <f>IF('data input for RPA'!D21="","",'data input for RPA'!D21)</f>
        <v>N</v>
      </c>
      <c r="F20" s="113">
        <f>IF('data input for RPA'!E21="","",'data input for RPA'!E21)</f>
      </c>
      <c r="G20" s="113">
        <f>IF('data input for RPA'!F21="","",'data input for RPA'!F21)</f>
        <v>5.9E-06</v>
      </c>
      <c r="H20" s="10">
        <f>IF(C20="No Criteria","No Criteria",IF(D20="N","No effluent data",IF(E20="N","",IF(F20&lt;C20,"All ND, MDL&lt;C, MEC=MDL","All ND, MinDL&gt;C, Go to Step 5, &amp; IM"))))</f>
      </c>
      <c r="I20" s="114">
        <f>IF(C20="No Criteria","No Criteria",IF(D20="N","",IF(E20="N",G20,IF(H20="All ND, MDL&lt;C, MEC=MDL",F20,""))))</f>
        <v>5.9E-06</v>
      </c>
      <c r="J20" s="10" t="str">
        <f>IF(C20="No Criteria","No Criteria",IF(I20="","",IF(I20&gt;=C20,"MEC&gt;=C, Effluent Limits Required","MEC&lt;C, go to Step 5")))</f>
        <v>MEC&gt;=C, Effluent Limits Required</v>
      </c>
      <c r="K20" s="114"/>
      <c r="L20" s="113" t="str">
        <f>IF('data input for RPA'!I21="","",'data input for RPA'!I21)</f>
        <v>Y</v>
      </c>
      <c r="M20" s="113" t="str">
        <f>IF('data input for RPA'!J21="","",'data input for RPA'!J21)</f>
        <v>N</v>
      </c>
      <c r="N20" s="113">
        <f>IF('data input for RPA'!K21="","",'data input for RPA'!K21)</f>
      </c>
      <c r="O20" s="113">
        <f>IF('data input for RPA'!L21="","",'data input for RPA'!L21)</f>
        <v>6.01E-05</v>
      </c>
      <c r="P20" s="113">
        <f>IF(N20="","",IF(N20&gt;C20,"Y","N"))</f>
      </c>
      <c r="Q20" s="10" t="str">
        <f>IF(C20="No Criteria","No Criteria",IF(O20="","No detected value of B, Step 7",IF(O20&gt;C20,"B&gt;C, Effluent Limit Required","B&lt;C, Step 7")))</f>
        <v>B&gt;C, Effluent Limit Required</v>
      </c>
      <c r="R20" s="113">
        <f>'data input for RPA'!O21</f>
      </c>
      <c r="S20" s="335" t="str">
        <f t="shared" si="2"/>
        <v>Yes</v>
      </c>
      <c r="T20" s="153" t="str">
        <f>IF(C20="No Criteria","No Criteria",IF(D20="N",IF(L20="N","no effluent data &amp; no B",IF(M20="Y","Ud, no effluent data &amp; B is ND",IF(O20&gt;C20,"B&gt;C","no effluent data &amp; B&lt;C"))),IF(H20="All ND, MinDL&gt;C, Go to Step 5, &amp; IM",IF(L20="N","MDL&gt;C &amp; No B",IF(M20="Y","UD; effluent data and B are ND",IF(O20&gt;C20,"B&gt;C","UD; effluent data ND, MDL&gt;C &amp; B&lt;C"))),IF(I20="No Criteria","No Criteria",IF(I20&gt;C20,"MEC&gt;C",IF(M20="N",IF(O20&gt;C20,"B&gt;C","MEC&lt;C &amp; B&lt;C"),"Ud;MEC&lt;C &amp; B is ND"))))))</f>
        <v>MEC&gt;C</v>
      </c>
    </row>
    <row r="21" spans="1:20" s="17" customFormat="1" ht="12.75">
      <c r="A21" s="7">
        <v>17</v>
      </c>
      <c r="B21" s="33" t="s">
        <v>32</v>
      </c>
      <c r="C21" s="99">
        <f>Criteria!C26</f>
        <v>780</v>
      </c>
      <c r="D21" s="154" t="str">
        <f>IF('data input for RPA'!C22="","",'data input for RPA'!C22)</f>
        <v>Y</v>
      </c>
      <c r="E21" s="113" t="str">
        <f>IF('data input for RPA'!D22="","",'data input for RPA'!D22)</f>
        <v>Y</v>
      </c>
      <c r="F21" s="113">
        <f>IF('data input for RPA'!E22="","",'data input for RPA'!E22)</f>
        <v>2.5</v>
      </c>
      <c r="G21" s="113">
        <f>IF('data input for RPA'!F22="","",'data input for RPA'!F22)</f>
      </c>
      <c r="H21" s="155" t="str">
        <f t="shared" si="3"/>
        <v>All ND, MDL&lt;C, MEC=MDL</v>
      </c>
      <c r="I21" s="114">
        <f>IF(C21="No Criteria","No Criteria",IF(D21="N","",IF(E21="N",G21,IF(H21="All ND, MDL&lt;C, MEC=MDL",F21,""))))</f>
        <v>2.5</v>
      </c>
      <c r="J21" s="10" t="str">
        <f>IF(C21="No Criteria","No Criteria",IF(I21="","",IF(I21&gt;=C21,"MEC&gt;=C, Effluent Limits Required","MEC&lt;C, go to Step 5")))</f>
        <v>MEC&lt;C, go to Step 5</v>
      </c>
      <c r="K21" s="156"/>
      <c r="L21" s="113" t="str">
        <f>IF('data input for RPA'!I22="","",'data input for RPA'!I22)</f>
        <v>Y</v>
      </c>
      <c r="M21" s="113" t="str">
        <f>IF('data input for RPA'!J22="","",'data input for RPA'!J22)</f>
        <v>Y</v>
      </c>
      <c r="N21" s="113">
        <f>IF('data input for RPA'!K22="","",'data input for RPA'!K22)</f>
        <v>2.5</v>
      </c>
      <c r="O21" s="113">
        <f>IF('data input for RPA'!L22="","",'data input for RPA'!L22)</f>
      </c>
      <c r="P21" s="113" t="str">
        <f t="shared" si="4"/>
        <v>N</v>
      </c>
      <c r="Q21" s="10" t="str">
        <f t="shared" si="5"/>
        <v>No detected value of B, Step 7</v>
      </c>
      <c r="R21" s="154">
        <f>'data input for RPA'!O22</f>
      </c>
      <c r="S21" s="152" t="str">
        <f t="shared" si="2"/>
        <v>No</v>
      </c>
      <c r="T21" s="153" t="str">
        <f t="shared" si="6"/>
        <v>Ud;MEC&lt;C &amp; B is ND</v>
      </c>
    </row>
    <row r="22" spans="1:20" s="17" customFormat="1" ht="12.75">
      <c r="A22" s="7">
        <v>18</v>
      </c>
      <c r="B22" s="33" t="s">
        <v>33</v>
      </c>
      <c r="C22" s="101">
        <f>Criteria!C27</f>
        <v>0.66</v>
      </c>
      <c r="D22" s="154" t="str">
        <f>IF('data input for RPA'!C23="","",'data input for RPA'!C23)</f>
        <v>Y</v>
      </c>
      <c r="E22" s="113" t="str">
        <f>IF('data input for RPA'!D23="","",'data input for RPA'!D23)</f>
        <v>Y</v>
      </c>
      <c r="F22" s="113">
        <f>IF('data input for RPA'!E23="","",'data input for RPA'!E23)</f>
        <v>1</v>
      </c>
      <c r="G22" s="113">
        <f>IF('data input for RPA'!F23="","",'data input for RPA'!F23)</f>
      </c>
      <c r="H22" s="155" t="str">
        <f t="shared" si="3"/>
        <v>All ND, MinDL&gt;C, Go to Step 5, &amp; IM</v>
      </c>
      <c r="I22" s="114">
        <f>IF(C22="No Criteria","No Criteria",IF(D22="N","",IF(E22="N",G22,IF(H22="All ND, MDL&lt;C, MEC=MDL",F22,""))))</f>
      </c>
      <c r="J22" s="10">
        <f>IF(C22="No Criteria","No Criteria",IF(I22="","",IF(I22&gt;=C22,"MEC&gt;=C, Effluent Limits Required","MEC&lt;C, go to Step 5")))</f>
      </c>
      <c r="K22" s="156"/>
      <c r="L22" s="113" t="str">
        <f>IF('data input for RPA'!I23="","",'data input for RPA'!I23)</f>
        <v>Y</v>
      </c>
      <c r="M22" s="113" t="str">
        <f>IF('data input for RPA'!J23="","",'data input for RPA'!J23)</f>
        <v>Y</v>
      </c>
      <c r="N22" s="113">
        <f>IF('data input for RPA'!K23="","",'data input for RPA'!K23)</f>
        <v>1</v>
      </c>
      <c r="O22" s="113">
        <f>IF('data input for RPA'!L23="","",'data input for RPA'!L23)</f>
      </c>
      <c r="P22" s="113" t="str">
        <f t="shared" si="4"/>
        <v>Y</v>
      </c>
      <c r="Q22" s="10" t="str">
        <f t="shared" si="5"/>
        <v>No detected value of B, Step 7</v>
      </c>
      <c r="R22" s="154">
        <f>'data input for RPA'!O23</f>
      </c>
      <c r="S22" s="152" t="str">
        <f t="shared" si="2"/>
        <v>No</v>
      </c>
      <c r="T22" s="153" t="str">
        <f t="shared" si="6"/>
        <v>UD; effluent data and B are ND</v>
      </c>
    </row>
    <row r="23" spans="1:20" s="17" customFormat="1" ht="12.75">
      <c r="A23" s="7">
        <v>19</v>
      </c>
      <c r="B23" s="33" t="s">
        <v>34</v>
      </c>
      <c r="C23" s="99">
        <f>Criteria!C28</f>
        <v>71</v>
      </c>
      <c r="D23" s="154" t="str">
        <f>IF('data input for RPA'!C24="","",'data input for RPA'!C24)</f>
        <v>Y</v>
      </c>
      <c r="E23" s="113" t="str">
        <f>IF('data input for RPA'!D24="","",'data input for RPA'!D24)</f>
        <v>Y</v>
      </c>
      <c r="F23" s="113">
        <f>IF('data input for RPA'!E24="","",'data input for RPA'!E24)</f>
        <v>0.5</v>
      </c>
      <c r="G23" s="113">
        <f>IF('data input for RPA'!F24="","",'data input for RPA'!F24)</f>
      </c>
      <c r="H23" s="155" t="str">
        <f t="shared" si="3"/>
        <v>All ND, MDL&lt;C, MEC=MDL</v>
      </c>
      <c r="I23" s="156">
        <f t="shared" si="0"/>
        <v>0.5</v>
      </c>
      <c r="J23" s="155" t="str">
        <f t="shared" si="1"/>
        <v>MEC&lt;C, go to Step 5</v>
      </c>
      <c r="K23" s="156"/>
      <c r="L23" s="113" t="str">
        <f>IF('data input for RPA'!I24="","",'data input for RPA'!I24)</f>
        <v>Y</v>
      </c>
      <c r="M23" s="113" t="str">
        <f>IF('data input for RPA'!J24="","",'data input for RPA'!J24)</f>
        <v>Y</v>
      </c>
      <c r="N23" s="113">
        <f>IF('data input for RPA'!K24="","",'data input for RPA'!K24)</f>
        <v>0.5</v>
      </c>
      <c r="O23" s="113">
        <f>IF('data input for RPA'!L24="","",'data input for RPA'!L24)</f>
      </c>
      <c r="P23" s="113" t="str">
        <f t="shared" si="4"/>
        <v>N</v>
      </c>
      <c r="Q23" s="10" t="str">
        <f t="shared" si="5"/>
        <v>No detected value of B, Step 7</v>
      </c>
      <c r="R23" s="154">
        <f>'data input for RPA'!O24</f>
      </c>
      <c r="S23" s="152" t="str">
        <f>IF(C23="No Criteria","Uo",IF(D23="N",IF(L23="N","Ud",IF(M23="Y","No",IF(O23&gt;C23,"Yes","Ud"))),IF(H23="All ND, MinDL&gt;C, Go to Step 5, &amp; IM",IF(L23="N","No",IF(M23="Y","No",IF(O23&gt;C23,"Yes","No"))),IF(I23="No Criteria","Uo",IF(I23&gt;C23,"Yes",IF(M23="N",IF(O23&gt;C23,"Yes","No"),"No"))))))</f>
        <v>No</v>
      </c>
      <c r="T23" s="153" t="str">
        <f t="shared" si="6"/>
        <v>Ud;MEC&lt;C &amp; B is ND</v>
      </c>
    </row>
    <row r="24" spans="1:20" ht="12.75">
      <c r="A24" s="7">
        <v>20</v>
      </c>
      <c r="B24" s="8" t="s">
        <v>35</v>
      </c>
      <c r="C24" s="99">
        <f>Criteria!C29</f>
        <v>360</v>
      </c>
      <c r="D24" s="113" t="str">
        <f>IF('data input for RPA'!C25="","",'data input for RPA'!C25)</f>
        <v>Y</v>
      </c>
      <c r="E24" s="113" t="str">
        <f>IF('data input for RPA'!D25="","",'data input for RPA'!D25)</f>
        <v>Y</v>
      </c>
      <c r="F24" s="113">
        <f>IF('data input for RPA'!E25="","",'data input for RPA'!E25)</f>
        <v>0.5</v>
      </c>
      <c r="G24" s="113">
        <f>IF('data input for RPA'!F25="","",'data input for RPA'!F25)</f>
      </c>
      <c r="H24" s="10" t="str">
        <f t="shared" si="3"/>
        <v>All ND, MDL&lt;C, MEC=MDL</v>
      </c>
      <c r="I24" s="114">
        <f t="shared" si="0"/>
        <v>0.5</v>
      </c>
      <c r="J24" s="10" t="str">
        <f t="shared" si="1"/>
        <v>MEC&lt;C, go to Step 5</v>
      </c>
      <c r="K24" s="114"/>
      <c r="L24" s="113" t="str">
        <f>IF('data input for RPA'!I25="","",'data input for RPA'!I25)</f>
        <v>Y</v>
      </c>
      <c r="M24" s="113" t="str">
        <f>IF('data input for RPA'!J25="","",'data input for RPA'!J25)</f>
        <v>Y</v>
      </c>
      <c r="N24" s="113">
        <f>IF('data input for RPA'!K25="","",'data input for RPA'!K25)</f>
        <v>0.5</v>
      </c>
      <c r="O24" s="113">
        <f>IF('data input for RPA'!L25="","",'data input for RPA'!L25)</f>
      </c>
      <c r="P24" s="113" t="str">
        <f t="shared" si="4"/>
        <v>N</v>
      </c>
      <c r="Q24" s="10" t="str">
        <f t="shared" si="5"/>
        <v>No detected value of B, Step 7</v>
      </c>
      <c r="R24" s="113">
        <f>'data input for RPA'!O25</f>
      </c>
      <c r="S24" s="152" t="str">
        <f t="shared" si="2"/>
        <v>No</v>
      </c>
      <c r="T24" s="153" t="str">
        <f t="shared" si="6"/>
        <v>Ud;MEC&lt;C &amp; B is ND</v>
      </c>
    </row>
    <row r="25" spans="1:20" ht="12.75">
      <c r="A25" s="7">
        <v>21</v>
      </c>
      <c r="B25" s="8" t="s">
        <v>36</v>
      </c>
      <c r="C25" s="104">
        <f>Criteria!C30</f>
        <v>4.4</v>
      </c>
      <c r="D25" s="113" t="str">
        <f>IF('data input for RPA'!C26="","",'data input for RPA'!C26)</f>
        <v>Y</v>
      </c>
      <c r="E25" s="113" t="str">
        <f>IF('data input for RPA'!D26="","",'data input for RPA'!D26)</f>
        <v>Y</v>
      </c>
      <c r="F25" s="113">
        <f>IF('data input for RPA'!E26="","",'data input for RPA'!E26)</f>
        <v>0.5</v>
      </c>
      <c r="G25" s="113">
        <f>IF('data input for RPA'!F26="","",'data input for RPA'!F26)</f>
      </c>
      <c r="H25" s="10" t="str">
        <f t="shared" si="3"/>
        <v>All ND, MDL&lt;C, MEC=MDL</v>
      </c>
      <c r="I25" s="114">
        <f t="shared" si="0"/>
        <v>0.5</v>
      </c>
      <c r="J25" s="10" t="str">
        <f t="shared" si="1"/>
        <v>MEC&lt;C, go to Step 5</v>
      </c>
      <c r="K25" s="114"/>
      <c r="L25" s="113" t="str">
        <f>IF('data input for RPA'!I26="","",'data input for RPA'!I26)</f>
        <v>Y</v>
      </c>
      <c r="M25" s="113" t="str">
        <f>IF('data input for RPA'!J26="","",'data input for RPA'!J26)</f>
        <v>Y</v>
      </c>
      <c r="N25" s="113">
        <f>IF('data input for RPA'!K26="","",'data input for RPA'!K26)</f>
        <v>0.5</v>
      </c>
      <c r="O25" s="113">
        <f>IF('data input for RPA'!L26="","",'data input for RPA'!L26)</f>
      </c>
      <c r="P25" s="113" t="str">
        <f t="shared" si="4"/>
        <v>N</v>
      </c>
      <c r="Q25" s="10" t="str">
        <f t="shared" si="5"/>
        <v>No detected value of B, Step 7</v>
      </c>
      <c r="R25" s="113">
        <f>'data input for RPA'!O26</f>
      </c>
      <c r="S25" s="152" t="str">
        <f t="shared" si="2"/>
        <v>No</v>
      </c>
      <c r="T25" s="153" t="str">
        <f t="shared" si="6"/>
        <v>Ud;MEC&lt;C &amp; B is ND</v>
      </c>
    </row>
    <row r="26" spans="1:20" ht="12.75">
      <c r="A26" s="7">
        <v>22</v>
      </c>
      <c r="B26" s="8" t="s">
        <v>37</v>
      </c>
      <c r="C26" s="99">
        <f>Criteria!C31</f>
        <v>21000</v>
      </c>
      <c r="D26" s="113" t="str">
        <f>IF('data input for RPA'!C27="","",'data input for RPA'!C27)</f>
        <v>Y</v>
      </c>
      <c r="E26" s="113" t="str">
        <f>IF('data input for RPA'!D27="","",'data input for RPA'!D27)</f>
        <v>Y</v>
      </c>
      <c r="F26" s="113">
        <f>IF('data input for RPA'!E27="","",'data input for RPA'!E27)</f>
        <v>0.5</v>
      </c>
      <c r="G26" s="113">
        <f>IF('data input for RPA'!F27="","",'data input for RPA'!F27)</f>
      </c>
      <c r="H26" s="10" t="str">
        <f t="shared" si="3"/>
        <v>All ND, MDL&lt;C, MEC=MDL</v>
      </c>
      <c r="I26" s="114">
        <f t="shared" si="0"/>
        <v>0.5</v>
      </c>
      <c r="J26" s="10" t="str">
        <f t="shared" si="1"/>
        <v>MEC&lt;C, go to Step 5</v>
      </c>
      <c r="K26" s="114"/>
      <c r="L26" s="113" t="str">
        <f>IF('data input for RPA'!I27="","",'data input for RPA'!I27)</f>
        <v>Y</v>
      </c>
      <c r="M26" s="113" t="str">
        <f>IF('data input for RPA'!J27="","",'data input for RPA'!J27)</f>
        <v>Y</v>
      </c>
      <c r="N26" s="113">
        <f>IF('data input for RPA'!K27="","",'data input for RPA'!K27)</f>
        <v>0.5</v>
      </c>
      <c r="O26" s="113">
        <f>IF('data input for RPA'!L27="","",'data input for RPA'!L27)</f>
      </c>
      <c r="P26" s="113" t="str">
        <f t="shared" si="4"/>
        <v>N</v>
      </c>
      <c r="Q26" s="10" t="str">
        <f t="shared" si="5"/>
        <v>No detected value of B, Step 7</v>
      </c>
      <c r="R26" s="113">
        <f>'data input for RPA'!O27</f>
      </c>
      <c r="S26" s="152" t="str">
        <f t="shared" si="2"/>
        <v>No</v>
      </c>
      <c r="T26" s="153" t="str">
        <f t="shared" si="6"/>
        <v>Ud;MEC&lt;C &amp; B is ND</v>
      </c>
    </row>
    <row r="27" spans="1:20" ht="12.75">
      <c r="A27" s="7">
        <v>23</v>
      </c>
      <c r="B27" s="8" t="s">
        <v>38</v>
      </c>
      <c r="C27" s="99">
        <f>Criteria!C32</f>
        <v>34</v>
      </c>
      <c r="D27" s="113" t="str">
        <f>IF('data input for RPA'!C28="","",'data input for RPA'!C28)</f>
        <v>Y</v>
      </c>
      <c r="E27" s="113" t="str">
        <f>IF('data input for RPA'!D28="","",'data input for RPA'!D28)</f>
        <v>Y</v>
      </c>
      <c r="F27" s="113">
        <f>IF('data input for RPA'!E28="","",'data input for RPA'!E28)</f>
        <v>0.5</v>
      </c>
      <c r="G27" s="113">
        <f>IF('data input for RPA'!F28="","",'data input for RPA'!F28)</f>
      </c>
      <c r="H27" s="10" t="str">
        <f t="shared" si="3"/>
        <v>All ND, MDL&lt;C, MEC=MDL</v>
      </c>
      <c r="I27" s="114">
        <f t="shared" si="0"/>
        <v>0.5</v>
      </c>
      <c r="J27" s="10" t="str">
        <f t="shared" si="1"/>
        <v>MEC&lt;C, go to Step 5</v>
      </c>
      <c r="K27" s="114"/>
      <c r="L27" s="113" t="str">
        <f>IF('data input for RPA'!I28="","",'data input for RPA'!I28)</f>
        <v>Y</v>
      </c>
      <c r="M27" s="113" t="str">
        <f>IF('data input for RPA'!J28="","",'data input for RPA'!J28)</f>
        <v>Y</v>
      </c>
      <c r="N27" s="113">
        <f>IF('data input for RPA'!K28="","",'data input for RPA'!K28)</f>
        <v>0.5</v>
      </c>
      <c r="O27" s="113">
        <f>IF('data input for RPA'!L28="","",'data input for RPA'!L28)</f>
      </c>
      <c r="P27" s="113" t="str">
        <f t="shared" si="4"/>
        <v>N</v>
      </c>
      <c r="Q27" s="10" t="str">
        <f t="shared" si="5"/>
        <v>No detected value of B, Step 7</v>
      </c>
      <c r="R27" s="113">
        <f>'data input for RPA'!O28</f>
      </c>
      <c r="S27" s="152" t="str">
        <f aca="true" t="shared" si="7" ref="S27:S87">IF(C27="No Criteria","Uo",IF(D27="N",IF(L27="N","Ud",IF(M27="Y","No",IF(O27&gt;C27,"Yes","Ud"))),IF(H27="All ND, MinDL&gt;C, Go to Step 5, &amp; IM",IF(L27="N","No",IF(M27="Y","No",IF(O27&gt;C27,"Yes","No"))),IF(I27="No Criteria","Uo",IF(I27&gt;C27,"Yes",IF(M27="N",IF(O27&gt;C27,"Yes","No"),"No"))))))</f>
        <v>No</v>
      </c>
      <c r="T27" s="153" t="str">
        <f t="shared" si="6"/>
        <v>Ud;MEC&lt;C &amp; B is ND</v>
      </c>
    </row>
    <row r="28" spans="1:20" ht="12.75">
      <c r="A28" s="7">
        <v>24</v>
      </c>
      <c r="B28" s="8" t="s">
        <v>39</v>
      </c>
      <c r="C28" s="99" t="str">
        <f>Criteria!C33</f>
        <v>No Criteria</v>
      </c>
      <c r="D28" s="113" t="str">
        <f>IF('data input for RPA'!C29="","",'data input for RPA'!C29)</f>
        <v>Y</v>
      </c>
      <c r="E28" s="113" t="str">
        <f>IF('data input for RPA'!D29="","",'data input for RPA'!D29)</f>
        <v>Y</v>
      </c>
      <c r="F28" s="113">
        <f>IF('data input for RPA'!E29="","",'data input for RPA'!E29)</f>
        <v>0.5</v>
      </c>
      <c r="G28" s="113">
        <f>IF('data input for RPA'!F29="","",'data input for RPA'!F29)</f>
      </c>
      <c r="H28" s="10" t="str">
        <f t="shared" si="3"/>
        <v>No Criteria</v>
      </c>
      <c r="I28" s="114" t="str">
        <f t="shared" si="0"/>
        <v>No Criteria</v>
      </c>
      <c r="J28" s="10" t="str">
        <f t="shared" si="1"/>
        <v>No Criteria</v>
      </c>
      <c r="K28" s="114"/>
      <c r="L28" s="113" t="str">
        <f>IF('data input for RPA'!I29="","",'data input for RPA'!I29)</f>
        <v>Y</v>
      </c>
      <c r="M28" s="113" t="str">
        <f>IF('data input for RPA'!J29="","",'data input for RPA'!J29)</f>
        <v>Y</v>
      </c>
      <c r="N28" s="113">
        <f>IF('data input for RPA'!K29="","",'data input for RPA'!K29)</f>
        <v>0.5</v>
      </c>
      <c r="O28" s="113">
        <f>IF('data input for RPA'!L29="","",'data input for RPA'!L29)</f>
      </c>
      <c r="P28" s="113" t="str">
        <f t="shared" si="4"/>
        <v>N</v>
      </c>
      <c r="Q28" s="10" t="str">
        <f t="shared" si="5"/>
        <v>No Criteria</v>
      </c>
      <c r="R28" s="113" t="str">
        <f>'data input for RPA'!O29</f>
        <v>No Criteria</v>
      </c>
      <c r="S28" s="152" t="str">
        <f t="shared" si="7"/>
        <v>Uo</v>
      </c>
      <c r="T28" s="153" t="str">
        <f t="shared" si="6"/>
        <v>No Criteria</v>
      </c>
    </row>
    <row r="29" spans="1:20" ht="12.75">
      <c r="A29" s="7">
        <v>25</v>
      </c>
      <c r="B29" s="8" t="s">
        <v>40</v>
      </c>
      <c r="C29" s="99" t="str">
        <f>Criteria!C34</f>
        <v>No Criteria</v>
      </c>
      <c r="D29" s="113" t="str">
        <f>IF('data input for RPA'!C30="","",'data input for RPA'!C30)</f>
        <v>Y</v>
      </c>
      <c r="E29" s="113" t="str">
        <f>IF('data input for RPA'!D30="","",'data input for RPA'!D30)</f>
        <v>Y</v>
      </c>
      <c r="F29" s="113">
        <f>IF('data input for RPA'!E30="","",'data input for RPA'!E30)</f>
        <v>0.5</v>
      </c>
      <c r="G29" s="113">
        <f>IF('data input for RPA'!F30="","",'data input for RPA'!F30)</f>
      </c>
      <c r="H29" s="10" t="str">
        <f t="shared" si="3"/>
        <v>No Criteria</v>
      </c>
      <c r="I29" s="114" t="str">
        <f t="shared" si="0"/>
        <v>No Criteria</v>
      </c>
      <c r="J29" s="10" t="str">
        <f t="shared" si="1"/>
        <v>No Criteria</v>
      </c>
      <c r="K29" s="114"/>
      <c r="L29" s="113" t="str">
        <f>IF('data input for RPA'!I30="","",'data input for RPA'!I30)</f>
        <v>Y</v>
      </c>
      <c r="M29" s="113" t="str">
        <f>IF('data input for RPA'!J30="","",'data input for RPA'!J30)</f>
        <v>Y</v>
      </c>
      <c r="N29" s="113">
        <f>IF('data input for RPA'!K30="","",'data input for RPA'!K30)</f>
        <v>0.5</v>
      </c>
      <c r="O29" s="113">
        <f>IF('data input for RPA'!L30="","",'data input for RPA'!L30)</f>
      </c>
      <c r="P29" s="113" t="str">
        <f t="shared" si="4"/>
        <v>N</v>
      </c>
      <c r="Q29" s="10" t="str">
        <f t="shared" si="5"/>
        <v>No Criteria</v>
      </c>
      <c r="R29" s="113" t="str">
        <f>'data input for RPA'!O30</f>
        <v>No Criteria</v>
      </c>
      <c r="S29" s="152" t="str">
        <f t="shared" si="7"/>
        <v>Uo</v>
      </c>
      <c r="T29" s="153" t="str">
        <f t="shared" si="6"/>
        <v>No Criteria</v>
      </c>
    </row>
    <row r="30" spans="1:20" ht="12.75">
      <c r="A30" s="7">
        <v>26</v>
      </c>
      <c r="B30" s="8" t="s">
        <v>41</v>
      </c>
      <c r="C30" s="99" t="str">
        <f>Criteria!C35</f>
        <v>No Criteria</v>
      </c>
      <c r="D30" s="113" t="str">
        <f>IF('data input for RPA'!C31="","",'data input for RPA'!C31)</f>
        <v>Y</v>
      </c>
      <c r="E30" s="113" t="str">
        <f>IF('data input for RPA'!D31="","",'data input for RPA'!D31)</f>
        <v>Y</v>
      </c>
      <c r="F30" s="113">
        <f>IF('data input for RPA'!E31="","",'data input for RPA'!E31)</f>
        <v>0.5</v>
      </c>
      <c r="G30" s="113">
        <f>IF('data input for RPA'!F31="","",'data input for RPA'!F31)</f>
      </c>
      <c r="H30" s="10" t="str">
        <f t="shared" si="3"/>
        <v>No Criteria</v>
      </c>
      <c r="I30" s="114" t="str">
        <f t="shared" si="0"/>
        <v>No Criteria</v>
      </c>
      <c r="J30" s="10" t="str">
        <f t="shared" si="1"/>
        <v>No Criteria</v>
      </c>
      <c r="K30" s="114"/>
      <c r="L30" s="113" t="str">
        <f>IF('data input for RPA'!I31="","",'data input for RPA'!I31)</f>
        <v>Y</v>
      </c>
      <c r="M30" s="113" t="str">
        <f>IF('data input for RPA'!J31="","",'data input for RPA'!J31)</f>
        <v>Y</v>
      </c>
      <c r="N30" s="113">
        <f>IF('data input for RPA'!K31="","",'data input for RPA'!K31)</f>
        <v>0.5</v>
      </c>
      <c r="O30" s="113">
        <f>IF('data input for RPA'!L31="","",'data input for RPA'!L31)</f>
      </c>
      <c r="P30" s="113" t="str">
        <f t="shared" si="4"/>
        <v>N</v>
      </c>
      <c r="Q30" s="10" t="str">
        <f t="shared" si="5"/>
        <v>No Criteria</v>
      </c>
      <c r="R30" s="113" t="str">
        <f>'data input for RPA'!O31</f>
        <v>No Criteria</v>
      </c>
      <c r="S30" s="152" t="str">
        <f t="shared" si="7"/>
        <v>Uo</v>
      </c>
      <c r="T30" s="153" t="str">
        <f t="shared" si="6"/>
        <v>No Criteria</v>
      </c>
    </row>
    <row r="31" spans="1:20" ht="12.75">
      <c r="A31" s="7">
        <v>27</v>
      </c>
      <c r="B31" s="8" t="s">
        <v>42</v>
      </c>
      <c r="C31" s="99">
        <f>Criteria!C36</f>
        <v>46</v>
      </c>
      <c r="D31" s="113" t="str">
        <f>IF('data input for RPA'!C32="","",'data input for RPA'!C32)</f>
        <v>Y</v>
      </c>
      <c r="E31" s="113" t="str">
        <f>IF('data input for RPA'!D32="","",'data input for RPA'!D32)</f>
        <v>Y</v>
      </c>
      <c r="F31" s="113">
        <f>IF('data input for RPA'!E32="","",'data input for RPA'!E32)</f>
        <v>0.5</v>
      </c>
      <c r="G31" s="113">
        <f>IF('data input for RPA'!F32="","",'data input for RPA'!F32)</f>
      </c>
      <c r="H31" s="10" t="str">
        <f t="shared" si="3"/>
        <v>All ND, MDL&lt;C, MEC=MDL</v>
      </c>
      <c r="I31" s="114">
        <f t="shared" si="0"/>
        <v>0.5</v>
      </c>
      <c r="J31" s="10" t="str">
        <f t="shared" si="1"/>
        <v>MEC&lt;C, go to Step 5</v>
      </c>
      <c r="K31" s="114"/>
      <c r="L31" s="113" t="str">
        <f>IF('data input for RPA'!I32="","",'data input for RPA'!I32)</f>
        <v>Y</v>
      </c>
      <c r="M31" s="113" t="str">
        <f>IF('data input for RPA'!J32="","",'data input for RPA'!J32)</f>
        <v>Y</v>
      </c>
      <c r="N31" s="113">
        <f>IF('data input for RPA'!K32="","",'data input for RPA'!K32)</f>
        <v>0.5</v>
      </c>
      <c r="O31" s="113">
        <f>IF('data input for RPA'!L32="","",'data input for RPA'!L32)</f>
      </c>
      <c r="P31" s="113" t="str">
        <f t="shared" si="4"/>
        <v>N</v>
      </c>
      <c r="Q31" s="10" t="str">
        <f t="shared" si="5"/>
        <v>No detected value of B, Step 7</v>
      </c>
      <c r="R31" s="113">
        <f>'data input for RPA'!O32</f>
      </c>
      <c r="S31" s="152" t="str">
        <f t="shared" si="7"/>
        <v>No</v>
      </c>
      <c r="T31" s="153" t="str">
        <f t="shared" si="6"/>
        <v>Ud;MEC&lt;C &amp; B is ND</v>
      </c>
    </row>
    <row r="32" spans="1:20" ht="12.75">
      <c r="A32" s="7">
        <v>28</v>
      </c>
      <c r="B32" s="8" t="s">
        <v>43</v>
      </c>
      <c r="C32" s="99" t="str">
        <f>Criteria!C37</f>
        <v>No Criteria</v>
      </c>
      <c r="D32" s="113" t="str">
        <f>IF('data input for RPA'!C33="","",'data input for RPA'!C33)</f>
        <v>Y</v>
      </c>
      <c r="E32" s="113" t="str">
        <f>IF('data input for RPA'!D33="","",'data input for RPA'!D33)</f>
        <v>Y</v>
      </c>
      <c r="F32" s="113">
        <f>IF('data input for RPA'!E33="","",'data input for RPA'!E33)</f>
        <v>0.5</v>
      </c>
      <c r="G32" s="113">
        <f>IF('data input for RPA'!F33="","",'data input for RPA'!F33)</f>
      </c>
      <c r="H32" s="10" t="str">
        <f t="shared" si="3"/>
        <v>No Criteria</v>
      </c>
      <c r="I32" s="114" t="str">
        <f t="shared" si="0"/>
        <v>No Criteria</v>
      </c>
      <c r="J32" s="10" t="str">
        <f t="shared" si="1"/>
        <v>No Criteria</v>
      </c>
      <c r="K32" s="114"/>
      <c r="L32" s="113" t="str">
        <f>IF('data input for RPA'!I33="","",'data input for RPA'!I33)</f>
        <v>Y</v>
      </c>
      <c r="M32" s="113" t="str">
        <f>IF('data input for RPA'!J33="","",'data input for RPA'!J33)</f>
        <v>Y</v>
      </c>
      <c r="N32" s="113">
        <f>IF('data input for RPA'!K33="","",'data input for RPA'!K33)</f>
        <v>0.5</v>
      </c>
      <c r="O32" s="113">
        <f>IF('data input for RPA'!L33="","",'data input for RPA'!L33)</f>
      </c>
      <c r="P32" s="113" t="str">
        <f t="shared" si="4"/>
        <v>N</v>
      </c>
      <c r="Q32" s="10" t="str">
        <f t="shared" si="5"/>
        <v>No Criteria</v>
      </c>
      <c r="R32" s="113" t="str">
        <f>'data input for RPA'!O33</f>
        <v>No Criteria</v>
      </c>
      <c r="S32" s="152" t="str">
        <f t="shared" si="7"/>
        <v>Uo</v>
      </c>
      <c r="T32" s="153" t="str">
        <f t="shared" si="6"/>
        <v>No Criteria</v>
      </c>
    </row>
    <row r="33" spans="1:20" ht="12.75">
      <c r="A33" s="7">
        <v>29</v>
      </c>
      <c r="B33" s="8" t="s">
        <v>44</v>
      </c>
      <c r="C33" s="99">
        <f>Criteria!C38</f>
        <v>99</v>
      </c>
      <c r="D33" s="113" t="str">
        <f>IF('data input for RPA'!C34="","",'data input for RPA'!C34)</f>
        <v>Y</v>
      </c>
      <c r="E33" s="113" t="str">
        <f>IF('data input for RPA'!D34="","",'data input for RPA'!D34)</f>
        <v>Y</v>
      </c>
      <c r="F33" s="113">
        <f>IF('data input for RPA'!E34="","",'data input for RPA'!E34)</f>
        <v>0.5</v>
      </c>
      <c r="G33" s="113">
        <f>IF('data input for RPA'!F34="","",'data input for RPA'!F34)</f>
      </c>
      <c r="H33" s="10" t="str">
        <f t="shared" si="3"/>
        <v>All ND, MDL&lt;C, MEC=MDL</v>
      </c>
      <c r="I33" s="114">
        <f t="shared" si="0"/>
        <v>0.5</v>
      </c>
      <c r="J33" s="10" t="str">
        <f t="shared" si="1"/>
        <v>MEC&lt;C, go to Step 5</v>
      </c>
      <c r="K33" s="114"/>
      <c r="L33" s="113" t="str">
        <f>IF('data input for RPA'!I34="","",'data input for RPA'!I34)</f>
        <v>Y</v>
      </c>
      <c r="M33" s="113" t="str">
        <f>IF('data input for RPA'!J34="","",'data input for RPA'!J34)</f>
        <v>Y</v>
      </c>
      <c r="N33" s="113">
        <f>IF('data input for RPA'!K34="","",'data input for RPA'!K34)</f>
        <v>0.5</v>
      </c>
      <c r="O33" s="113">
        <f>IF('data input for RPA'!L34="","",'data input for RPA'!L34)</f>
      </c>
      <c r="P33" s="113" t="str">
        <f t="shared" si="4"/>
        <v>N</v>
      </c>
      <c r="Q33" s="10" t="str">
        <f t="shared" si="5"/>
        <v>No detected value of B, Step 7</v>
      </c>
      <c r="R33" s="113">
        <f>'data input for RPA'!O34</f>
      </c>
      <c r="S33" s="152" t="str">
        <f t="shared" si="7"/>
        <v>No</v>
      </c>
      <c r="T33" s="153" t="str">
        <f t="shared" si="6"/>
        <v>Ud;MEC&lt;C &amp; B is ND</v>
      </c>
    </row>
    <row r="34" spans="1:20" ht="12.75">
      <c r="A34" s="7">
        <v>30</v>
      </c>
      <c r="B34" s="8" t="s">
        <v>45</v>
      </c>
      <c r="C34" s="104">
        <f>Criteria!C39</f>
        <v>3.2</v>
      </c>
      <c r="D34" s="113" t="str">
        <f>IF('data input for RPA'!C35="","",'data input for RPA'!C35)</f>
        <v>Y</v>
      </c>
      <c r="E34" s="113" t="str">
        <f>IF('data input for RPA'!D35="","",'data input for RPA'!D35)</f>
        <v>Y</v>
      </c>
      <c r="F34" s="113">
        <f>IF('data input for RPA'!E35="","",'data input for RPA'!E35)</f>
        <v>0.5</v>
      </c>
      <c r="G34" s="113">
        <f>IF('data input for RPA'!F35="","",'data input for RPA'!F35)</f>
      </c>
      <c r="H34" s="10" t="str">
        <f t="shared" si="3"/>
        <v>All ND, MDL&lt;C, MEC=MDL</v>
      </c>
      <c r="I34" s="114">
        <f t="shared" si="0"/>
        <v>0.5</v>
      </c>
      <c r="J34" s="10" t="str">
        <f t="shared" si="1"/>
        <v>MEC&lt;C, go to Step 5</v>
      </c>
      <c r="K34" s="114"/>
      <c r="L34" s="113" t="str">
        <f>IF('data input for RPA'!I35="","",'data input for RPA'!I35)</f>
        <v>Y</v>
      </c>
      <c r="M34" s="113" t="str">
        <f>IF('data input for RPA'!J35="","",'data input for RPA'!J35)</f>
        <v>Y</v>
      </c>
      <c r="N34" s="113">
        <f>IF('data input for RPA'!K35="","",'data input for RPA'!K35)</f>
        <v>0.5</v>
      </c>
      <c r="O34" s="113">
        <f>IF('data input for RPA'!L35="","",'data input for RPA'!L35)</f>
      </c>
      <c r="P34" s="113" t="str">
        <f t="shared" si="4"/>
        <v>N</v>
      </c>
      <c r="Q34" s="10" t="str">
        <f t="shared" si="5"/>
        <v>No detected value of B, Step 7</v>
      </c>
      <c r="R34" s="113">
        <f>'data input for RPA'!O35</f>
      </c>
      <c r="S34" s="152" t="str">
        <f t="shared" si="7"/>
        <v>No</v>
      </c>
      <c r="T34" s="153" t="str">
        <f t="shared" si="6"/>
        <v>Ud;MEC&lt;C &amp; B is ND</v>
      </c>
    </row>
    <row r="35" spans="1:20" ht="12.75">
      <c r="A35" s="7">
        <v>31</v>
      </c>
      <c r="B35" s="8" t="s">
        <v>46</v>
      </c>
      <c r="C35" s="99">
        <f>Criteria!C40</f>
        <v>39</v>
      </c>
      <c r="D35" s="113" t="str">
        <f>IF('data input for RPA'!C36="","",'data input for RPA'!C36)</f>
        <v>Y</v>
      </c>
      <c r="E35" s="113" t="str">
        <f>IF('data input for RPA'!D36="","",'data input for RPA'!D36)</f>
        <v>Y</v>
      </c>
      <c r="F35" s="113">
        <f>IF('data input for RPA'!E36="","",'data input for RPA'!E36)</f>
        <v>0.5</v>
      </c>
      <c r="G35" s="113">
        <f>IF('data input for RPA'!F36="","",'data input for RPA'!F36)</f>
      </c>
      <c r="H35" s="10" t="str">
        <f t="shared" si="3"/>
        <v>All ND, MDL&lt;C, MEC=MDL</v>
      </c>
      <c r="I35" s="114">
        <f t="shared" si="0"/>
        <v>0.5</v>
      </c>
      <c r="J35" s="10" t="str">
        <f t="shared" si="1"/>
        <v>MEC&lt;C, go to Step 5</v>
      </c>
      <c r="K35" s="114"/>
      <c r="L35" s="113" t="str">
        <f>IF('data input for RPA'!I36="","",'data input for RPA'!I36)</f>
        <v>Y</v>
      </c>
      <c r="M35" s="113" t="str">
        <f>IF('data input for RPA'!J36="","",'data input for RPA'!J36)</f>
        <v>Y</v>
      </c>
      <c r="N35" s="113">
        <f>IF('data input for RPA'!K36="","",'data input for RPA'!K36)</f>
        <v>0.5</v>
      </c>
      <c r="O35" s="113">
        <f>IF('data input for RPA'!L36="","",'data input for RPA'!L36)</f>
      </c>
      <c r="P35" s="113" t="str">
        <f t="shared" si="4"/>
        <v>N</v>
      </c>
      <c r="Q35" s="10" t="str">
        <f t="shared" si="5"/>
        <v>No detected value of B, Step 7</v>
      </c>
      <c r="R35" s="113">
        <f>'data input for RPA'!O36</f>
      </c>
      <c r="S35" s="152" t="str">
        <f t="shared" si="7"/>
        <v>No</v>
      </c>
      <c r="T35" s="153" t="str">
        <f t="shared" si="6"/>
        <v>Ud;MEC&lt;C &amp; B is ND</v>
      </c>
    </row>
    <row r="36" spans="1:20" ht="12.75">
      <c r="A36" s="7">
        <v>32</v>
      </c>
      <c r="B36" s="8" t="s">
        <v>47</v>
      </c>
      <c r="C36" s="99">
        <f>Criteria!C41</f>
        <v>1700</v>
      </c>
      <c r="D36" s="113" t="str">
        <f>IF('data input for RPA'!C37="","",'data input for RPA'!C37)</f>
        <v>Y</v>
      </c>
      <c r="E36" s="113" t="str">
        <f>IF('data input for RPA'!D37="","",'data input for RPA'!D37)</f>
        <v>Y</v>
      </c>
      <c r="F36" s="113">
        <f>IF('data input for RPA'!E37="","",'data input for RPA'!E37)</f>
        <v>0.5</v>
      </c>
      <c r="G36" s="113">
        <f>IF('data input for RPA'!F37="","",'data input for RPA'!F37)</f>
      </c>
      <c r="H36" s="10" t="str">
        <f t="shared" si="3"/>
        <v>All ND, MDL&lt;C, MEC=MDL</v>
      </c>
      <c r="I36" s="114">
        <f aca="true" t="shared" si="8" ref="I36:I67">IF(C36="No Criteria","No Criteria",IF(D36="N","",IF(E36="N",G36,IF(H36="All ND, MDL&lt;C, MEC=MDL",F36,""))))</f>
        <v>0.5</v>
      </c>
      <c r="J36" s="10" t="str">
        <f aca="true" t="shared" si="9" ref="J36:J67">IF(C36="No Criteria","No Criteria",IF(I36="","",IF(I36&gt;=C36,"MEC&gt;=C, Effluent Limits Required","MEC&lt;C, go to Step 5")))</f>
        <v>MEC&lt;C, go to Step 5</v>
      </c>
      <c r="K36" s="114"/>
      <c r="L36" s="113" t="str">
        <f>IF('data input for RPA'!I37="","",'data input for RPA'!I37)</f>
        <v>Y</v>
      </c>
      <c r="M36" s="113" t="str">
        <f>IF('data input for RPA'!J37="","",'data input for RPA'!J37)</f>
        <v>Y</v>
      </c>
      <c r="N36" s="113">
        <f>IF('data input for RPA'!K37="","",'data input for RPA'!K37)</f>
        <v>0.5</v>
      </c>
      <c r="O36" s="113">
        <f>IF('data input for RPA'!L37="","",'data input for RPA'!L37)</f>
      </c>
      <c r="P36" s="113" t="str">
        <f t="shared" si="4"/>
        <v>N</v>
      </c>
      <c r="Q36" s="10" t="str">
        <f t="shared" si="5"/>
        <v>No detected value of B, Step 7</v>
      </c>
      <c r="R36" s="113">
        <f>'data input for RPA'!O37</f>
      </c>
      <c r="S36" s="152" t="str">
        <f t="shared" si="7"/>
        <v>No</v>
      </c>
      <c r="T36" s="153" t="str">
        <f t="shared" si="6"/>
        <v>Ud;MEC&lt;C &amp; B is ND</v>
      </c>
    </row>
    <row r="37" spans="1:20" ht="12.75">
      <c r="A37" s="7">
        <v>33</v>
      </c>
      <c r="B37" s="8" t="s">
        <v>48</v>
      </c>
      <c r="C37" s="99">
        <f>Criteria!C42</f>
        <v>29000</v>
      </c>
      <c r="D37" s="113" t="str">
        <f>IF('data input for RPA'!C38="","",'data input for RPA'!C38)</f>
        <v>Y</v>
      </c>
      <c r="E37" s="113" t="str">
        <f>IF('data input for RPA'!D38="","",'data input for RPA'!D38)</f>
        <v>Y</v>
      </c>
      <c r="F37" s="113">
        <f>IF('data input for RPA'!E38="","",'data input for RPA'!E38)</f>
        <v>0.5</v>
      </c>
      <c r="G37" s="113">
        <f>IF('data input for RPA'!F38="","",'data input for RPA'!F38)</f>
      </c>
      <c r="H37" s="10" t="str">
        <f t="shared" si="3"/>
        <v>All ND, MDL&lt;C, MEC=MDL</v>
      </c>
      <c r="I37" s="114">
        <f t="shared" si="8"/>
        <v>0.5</v>
      </c>
      <c r="J37" s="10" t="str">
        <f t="shared" si="9"/>
        <v>MEC&lt;C, go to Step 5</v>
      </c>
      <c r="K37" s="114"/>
      <c r="L37" s="113" t="str">
        <f>IF('data input for RPA'!I38="","",'data input for RPA'!I38)</f>
        <v>Y</v>
      </c>
      <c r="M37" s="113" t="str">
        <f>IF('data input for RPA'!J38="","",'data input for RPA'!J38)</f>
        <v>Y</v>
      </c>
      <c r="N37" s="113">
        <f>IF('data input for RPA'!K38="","",'data input for RPA'!K38)</f>
        <v>0.5</v>
      </c>
      <c r="O37" s="113">
        <f>IF('data input for RPA'!L38="","",'data input for RPA'!L38)</f>
      </c>
      <c r="P37" s="113" t="str">
        <f t="shared" si="4"/>
        <v>N</v>
      </c>
      <c r="Q37" s="10" t="str">
        <f t="shared" si="5"/>
        <v>No detected value of B, Step 7</v>
      </c>
      <c r="R37" s="113">
        <f>'data input for RPA'!O38</f>
      </c>
      <c r="S37" s="152" t="str">
        <f t="shared" si="7"/>
        <v>No</v>
      </c>
      <c r="T37" s="153" t="str">
        <f t="shared" si="6"/>
        <v>Ud;MEC&lt;C &amp; B is ND</v>
      </c>
    </row>
    <row r="38" spans="1:20" ht="12.75">
      <c r="A38" s="7">
        <v>34</v>
      </c>
      <c r="B38" s="8" t="s">
        <v>49</v>
      </c>
      <c r="C38" s="99">
        <f>Criteria!C43</f>
        <v>4000</v>
      </c>
      <c r="D38" s="113" t="str">
        <f>IF('data input for RPA'!C39="","",'data input for RPA'!C39)</f>
        <v>Y</v>
      </c>
      <c r="E38" s="113" t="str">
        <f>IF('data input for RPA'!D39="","",'data input for RPA'!D39)</f>
        <v>Y</v>
      </c>
      <c r="F38" s="113">
        <f>IF('data input for RPA'!E39="","",'data input for RPA'!E39)</f>
        <v>0.5</v>
      </c>
      <c r="G38" s="113">
        <f>IF('data input for RPA'!F39="","",'data input for RPA'!F39)</f>
      </c>
      <c r="H38" s="10" t="str">
        <f t="shared" si="3"/>
        <v>All ND, MDL&lt;C, MEC=MDL</v>
      </c>
      <c r="I38" s="114">
        <f t="shared" si="8"/>
        <v>0.5</v>
      </c>
      <c r="J38" s="10" t="str">
        <f t="shared" si="9"/>
        <v>MEC&lt;C, go to Step 5</v>
      </c>
      <c r="K38" s="114"/>
      <c r="L38" s="113" t="str">
        <f>IF('data input for RPA'!I39="","",'data input for RPA'!I39)</f>
        <v>Y</v>
      </c>
      <c r="M38" s="113" t="str">
        <f>IF('data input for RPA'!J39="","",'data input for RPA'!J39)</f>
        <v>Y</v>
      </c>
      <c r="N38" s="113">
        <f>IF('data input for RPA'!K39="","",'data input for RPA'!K39)</f>
        <v>0.5</v>
      </c>
      <c r="O38" s="113">
        <f>IF('data input for RPA'!L39="","",'data input for RPA'!L39)</f>
      </c>
      <c r="P38" s="113" t="str">
        <f t="shared" si="4"/>
        <v>N</v>
      </c>
      <c r="Q38" s="10" t="str">
        <f t="shared" si="5"/>
        <v>No detected value of B, Step 7</v>
      </c>
      <c r="R38" s="113">
        <f>'data input for RPA'!O39</f>
      </c>
      <c r="S38" s="152" t="str">
        <f t="shared" si="7"/>
        <v>No</v>
      </c>
      <c r="T38" s="153" t="str">
        <f t="shared" si="6"/>
        <v>Ud;MEC&lt;C &amp; B is ND</v>
      </c>
    </row>
    <row r="39" spans="1:20" ht="12.75">
      <c r="A39" s="7">
        <v>35</v>
      </c>
      <c r="B39" s="8" t="s">
        <v>50</v>
      </c>
      <c r="C39" s="99" t="str">
        <f>Criteria!C44</f>
        <v>No Criteria</v>
      </c>
      <c r="D39" s="113" t="str">
        <f>IF('data input for RPA'!C40="","",'data input for RPA'!C40)</f>
        <v>Y</v>
      </c>
      <c r="E39" s="113" t="str">
        <f>IF('data input for RPA'!D40="","",'data input for RPA'!D40)</f>
        <v>Y</v>
      </c>
      <c r="F39" s="113">
        <f>IF('data input for RPA'!E40="","",'data input for RPA'!E40)</f>
        <v>0.5</v>
      </c>
      <c r="G39" s="113">
        <f>IF('data input for RPA'!F40="","",'data input for RPA'!F40)</f>
      </c>
      <c r="H39" s="10" t="str">
        <f t="shared" si="3"/>
        <v>No Criteria</v>
      </c>
      <c r="I39" s="114" t="str">
        <f t="shared" si="8"/>
        <v>No Criteria</v>
      </c>
      <c r="J39" s="10" t="str">
        <f t="shared" si="9"/>
        <v>No Criteria</v>
      </c>
      <c r="K39" s="114"/>
      <c r="L39" s="113" t="str">
        <f>IF('data input for RPA'!I40="","",'data input for RPA'!I40)</f>
        <v>Y</v>
      </c>
      <c r="M39" s="113" t="str">
        <f>IF('data input for RPA'!J40="","",'data input for RPA'!J40)</f>
        <v>Y</v>
      </c>
      <c r="N39" s="113">
        <f>IF('data input for RPA'!K40="","",'data input for RPA'!K40)</f>
        <v>0.5</v>
      </c>
      <c r="O39" s="113">
        <f>IF('data input for RPA'!L40="","",'data input for RPA'!L40)</f>
      </c>
      <c r="P39" s="113" t="str">
        <f t="shared" si="4"/>
        <v>N</v>
      </c>
      <c r="Q39" s="10" t="str">
        <f t="shared" si="5"/>
        <v>No Criteria</v>
      </c>
      <c r="R39" s="113" t="str">
        <f>'data input for RPA'!O40</f>
        <v>No Criteria</v>
      </c>
      <c r="S39" s="152" t="str">
        <f t="shared" si="7"/>
        <v>Uo</v>
      </c>
      <c r="T39" s="153" t="str">
        <f t="shared" si="6"/>
        <v>No Criteria</v>
      </c>
    </row>
    <row r="40" spans="1:20" ht="12.75">
      <c r="A40" s="7">
        <v>36</v>
      </c>
      <c r="B40" s="8" t="s">
        <v>51</v>
      </c>
      <c r="C40" s="99">
        <f>Criteria!C45</f>
        <v>1600</v>
      </c>
      <c r="D40" s="113" t="str">
        <f>IF('data input for RPA'!C41="","",'data input for RPA'!C41)</f>
        <v>Y</v>
      </c>
      <c r="E40" s="113" t="str">
        <f>IF('data input for RPA'!D41="","",'data input for RPA'!D41)</f>
        <v>Y</v>
      </c>
      <c r="F40" s="113">
        <f>IF('data input for RPA'!E41="","",'data input for RPA'!E41)</f>
        <v>1</v>
      </c>
      <c r="G40" s="113">
        <f>IF('data input for RPA'!F41="","",'data input for RPA'!F41)</f>
      </c>
      <c r="H40" s="10" t="str">
        <f t="shared" si="3"/>
        <v>All ND, MDL&lt;C, MEC=MDL</v>
      </c>
      <c r="I40" s="114">
        <f t="shared" si="8"/>
        <v>1</v>
      </c>
      <c r="J40" s="10" t="str">
        <f t="shared" si="9"/>
        <v>MEC&lt;C, go to Step 5</v>
      </c>
      <c r="K40" s="114"/>
      <c r="L40" s="113" t="str">
        <f>IF('data input for RPA'!I41="","",'data input for RPA'!I41)</f>
        <v>Y</v>
      </c>
      <c r="M40" s="113" t="str">
        <f>IF('data input for RPA'!J41="","",'data input for RPA'!J41)</f>
        <v>Y</v>
      </c>
      <c r="N40" s="113">
        <f>IF('data input for RPA'!K41="","",'data input for RPA'!K41)</f>
        <v>1</v>
      </c>
      <c r="O40" s="113">
        <f>IF('data input for RPA'!L41="","",'data input for RPA'!L41)</f>
      </c>
      <c r="P40" s="113" t="str">
        <f t="shared" si="4"/>
        <v>N</v>
      </c>
      <c r="Q40" s="10" t="str">
        <f t="shared" si="5"/>
        <v>No detected value of B, Step 7</v>
      </c>
      <c r="R40" s="113">
        <f>'data input for RPA'!O41</f>
      </c>
      <c r="S40" s="152" t="str">
        <f t="shared" si="7"/>
        <v>No</v>
      </c>
      <c r="T40" s="153" t="str">
        <f t="shared" si="6"/>
        <v>Ud;MEC&lt;C &amp; B is ND</v>
      </c>
    </row>
    <row r="41" spans="1:20" ht="12.75">
      <c r="A41" s="7">
        <v>37</v>
      </c>
      <c r="B41" s="8" t="s">
        <v>52</v>
      </c>
      <c r="C41" s="99">
        <f>Criteria!C46</f>
        <v>11</v>
      </c>
      <c r="D41" s="113" t="str">
        <f>IF('data input for RPA'!C42="","",'data input for RPA'!C42)</f>
        <v>Y</v>
      </c>
      <c r="E41" s="113" t="str">
        <f>IF('data input for RPA'!D42="","",'data input for RPA'!D42)</f>
        <v>Y</v>
      </c>
      <c r="F41" s="113">
        <f>IF('data input for RPA'!E42="","",'data input for RPA'!E42)</f>
        <v>0.5</v>
      </c>
      <c r="G41" s="113">
        <f>IF('data input for RPA'!F42="","",'data input for RPA'!F42)</f>
      </c>
      <c r="H41" s="10" t="str">
        <f t="shared" si="3"/>
        <v>All ND, MDL&lt;C, MEC=MDL</v>
      </c>
      <c r="I41" s="114">
        <f t="shared" si="8"/>
        <v>0.5</v>
      </c>
      <c r="J41" s="10" t="str">
        <f t="shared" si="9"/>
        <v>MEC&lt;C, go to Step 5</v>
      </c>
      <c r="K41" s="114"/>
      <c r="L41" s="113" t="str">
        <f>IF('data input for RPA'!I42="","",'data input for RPA'!I42)</f>
        <v>Y</v>
      </c>
      <c r="M41" s="113" t="str">
        <f>IF('data input for RPA'!J42="","",'data input for RPA'!J42)</f>
        <v>Y</v>
      </c>
      <c r="N41" s="113">
        <f>IF('data input for RPA'!K42="","",'data input for RPA'!K42)</f>
        <v>0.5</v>
      </c>
      <c r="O41" s="113">
        <f>IF('data input for RPA'!L42="","",'data input for RPA'!L42)</f>
      </c>
      <c r="P41" s="113" t="str">
        <f t="shared" si="4"/>
        <v>N</v>
      </c>
      <c r="Q41" s="10" t="str">
        <f t="shared" si="5"/>
        <v>No detected value of B, Step 7</v>
      </c>
      <c r="R41" s="113">
        <f>'data input for RPA'!O42</f>
      </c>
      <c r="S41" s="152" t="str">
        <f t="shared" si="7"/>
        <v>No</v>
      </c>
      <c r="T41" s="153" t="str">
        <f t="shared" si="6"/>
        <v>Ud;MEC&lt;C &amp; B is ND</v>
      </c>
    </row>
    <row r="42" spans="1:20" ht="12.75">
      <c r="A42" s="7">
        <v>38</v>
      </c>
      <c r="B42" s="8" t="s">
        <v>53</v>
      </c>
      <c r="C42" s="101">
        <f>Criteria!C47</f>
        <v>8.85</v>
      </c>
      <c r="D42" s="113" t="str">
        <f>IF('data input for RPA'!C43="","",'data input for RPA'!C43)</f>
        <v>Y</v>
      </c>
      <c r="E42" s="113" t="str">
        <f>IF('data input for RPA'!D43="","",'data input for RPA'!D43)</f>
        <v>Y</v>
      </c>
      <c r="F42" s="113">
        <f>IF('data input for RPA'!E43="","",'data input for RPA'!E43)</f>
        <v>0.5</v>
      </c>
      <c r="G42" s="113">
        <f>IF('data input for RPA'!F43="","",'data input for RPA'!F43)</f>
      </c>
      <c r="H42" s="10" t="str">
        <f t="shared" si="3"/>
        <v>All ND, MDL&lt;C, MEC=MDL</v>
      </c>
      <c r="I42" s="114">
        <f t="shared" si="8"/>
        <v>0.5</v>
      </c>
      <c r="J42" s="10" t="str">
        <f t="shared" si="9"/>
        <v>MEC&lt;C, go to Step 5</v>
      </c>
      <c r="K42" s="114"/>
      <c r="L42" s="113" t="str">
        <f>IF('data input for RPA'!I43="","",'data input for RPA'!I43)</f>
        <v>Y</v>
      </c>
      <c r="M42" s="113" t="str">
        <f>IF('data input for RPA'!J43="","",'data input for RPA'!J43)</f>
        <v>Y</v>
      </c>
      <c r="N42" s="113">
        <f>IF('data input for RPA'!K43="","",'data input for RPA'!K43)</f>
        <v>0.5</v>
      </c>
      <c r="O42" s="113">
        <f>IF('data input for RPA'!L43="","",'data input for RPA'!L43)</f>
      </c>
      <c r="P42" s="113" t="str">
        <f t="shared" si="4"/>
        <v>N</v>
      </c>
      <c r="Q42" s="10" t="str">
        <f t="shared" si="5"/>
        <v>No detected value of B, Step 7</v>
      </c>
      <c r="R42" s="113">
        <f>'data input for RPA'!O43</f>
      </c>
      <c r="S42" s="152" t="str">
        <f t="shared" si="7"/>
        <v>No</v>
      </c>
      <c r="T42" s="153" t="str">
        <f t="shared" si="6"/>
        <v>Ud;MEC&lt;C &amp; B is ND</v>
      </c>
    </row>
    <row r="43" spans="1:20" ht="12.75">
      <c r="A43" s="7">
        <v>39</v>
      </c>
      <c r="B43" s="8" t="s">
        <v>54</v>
      </c>
      <c r="C43" s="99">
        <f>Criteria!C48</f>
        <v>200000</v>
      </c>
      <c r="D43" s="113" t="str">
        <f>IF('data input for RPA'!C44="","",'data input for RPA'!C44)</f>
        <v>Y</v>
      </c>
      <c r="E43" s="113" t="str">
        <f>IF('data input for RPA'!D44="","",'data input for RPA'!D44)</f>
        <v>Y</v>
      </c>
      <c r="F43" s="113">
        <f>IF('data input for RPA'!E44="","",'data input for RPA'!E44)</f>
        <v>0.5</v>
      </c>
      <c r="G43" s="113">
        <f>IF('data input for RPA'!F44="","",'data input for RPA'!F44)</f>
      </c>
      <c r="H43" s="10" t="str">
        <f t="shared" si="3"/>
        <v>All ND, MDL&lt;C, MEC=MDL</v>
      </c>
      <c r="I43" s="114">
        <f t="shared" si="8"/>
        <v>0.5</v>
      </c>
      <c r="J43" s="10" t="str">
        <f t="shared" si="9"/>
        <v>MEC&lt;C, go to Step 5</v>
      </c>
      <c r="K43" s="114"/>
      <c r="L43" s="113" t="str">
        <f>IF('data input for RPA'!I44="","",'data input for RPA'!I44)</f>
        <v>Y</v>
      </c>
      <c r="M43" s="113" t="str">
        <f>IF('data input for RPA'!J44="","",'data input for RPA'!J44)</f>
        <v>Y</v>
      </c>
      <c r="N43" s="113">
        <f>IF('data input for RPA'!K44="","",'data input for RPA'!K44)</f>
        <v>0.5</v>
      </c>
      <c r="O43" s="113">
        <f>IF('data input for RPA'!L44="","",'data input for RPA'!L44)</f>
      </c>
      <c r="P43" s="113" t="str">
        <f t="shared" si="4"/>
        <v>N</v>
      </c>
      <c r="Q43" s="10" t="str">
        <f t="shared" si="5"/>
        <v>No detected value of B, Step 7</v>
      </c>
      <c r="R43" s="113">
        <f>'data input for RPA'!O44</f>
      </c>
      <c r="S43" s="152" t="str">
        <f t="shared" si="7"/>
        <v>No</v>
      </c>
      <c r="T43" s="153" t="str">
        <f t="shared" si="6"/>
        <v>Ud;MEC&lt;C &amp; B is ND</v>
      </c>
    </row>
    <row r="44" spans="1:20" ht="12.75">
      <c r="A44" s="7">
        <v>40</v>
      </c>
      <c r="B44" s="8" t="s">
        <v>55</v>
      </c>
      <c r="C44" s="99">
        <f>Criteria!C49</f>
        <v>140000</v>
      </c>
      <c r="D44" s="113" t="str">
        <f>IF('data input for RPA'!C45="","",'data input for RPA'!C45)</f>
        <v>Y</v>
      </c>
      <c r="E44" s="113" t="str">
        <f>IF('data input for RPA'!D45="","",'data input for RPA'!D45)</f>
        <v>Y</v>
      </c>
      <c r="F44" s="113">
        <f>IF('data input for RPA'!E45="","",'data input for RPA'!E45)</f>
        <v>0.5</v>
      </c>
      <c r="G44" s="113">
        <f>IF('data input for RPA'!F45="","",'data input for RPA'!F45)</f>
      </c>
      <c r="H44" s="10" t="str">
        <f t="shared" si="3"/>
        <v>All ND, MDL&lt;C, MEC=MDL</v>
      </c>
      <c r="I44" s="114">
        <f t="shared" si="8"/>
        <v>0.5</v>
      </c>
      <c r="J44" s="10" t="str">
        <f t="shared" si="9"/>
        <v>MEC&lt;C, go to Step 5</v>
      </c>
      <c r="K44" s="114"/>
      <c r="L44" s="113" t="str">
        <f>IF('data input for RPA'!I45="","",'data input for RPA'!I45)</f>
        <v>Y</v>
      </c>
      <c r="M44" s="113" t="str">
        <f>IF('data input for RPA'!J45="","",'data input for RPA'!J45)</f>
        <v>Y</v>
      </c>
      <c r="N44" s="113">
        <f>IF('data input for RPA'!K45="","",'data input for RPA'!K45)</f>
        <v>0.5</v>
      </c>
      <c r="O44" s="113">
        <f>IF('data input for RPA'!L45="","",'data input for RPA'!L45)</f>
      </c>
      <c r="P44" s="113" t="str">
        <f t="shared" si="4"/>
        <v>N</v>
      </c>
      <c r="Q44" s="10" t="str">
        <f t="shared" si="5"/>
        <v>No detected value of B, Step 7</v>
      </c>
      <c r="R44" s="113">
        <f>'data input for RPA'!O45</f>
      </c>
      <c r="S44" s="152" t="str">
        <f t="shared" si="7"/>
        <v>No</v>
      </c>
      <c r="T44" s="153" t="str">
        <f t="shared" si="6"/>
        <v>Ud;MEC&lt;C &amp; B is ND</v>
      </c>
    </row>
    <row r="45" spans="1:20" ht="12.75">
      <c r="A45" s="7">
        <v>41</v>
      </c>
      <c r="B45" s="8" t="s">
        <v>56</v>
      </c>
      <c r="C45" s="99" t="str">
        <f>Criteria!C50</f>
        <v>No Criteria</v>
      </c>
      <c r="D45" s="113" t="str">
        <f>IF('data input for RPA'!C46="","",'data input for RPA'!C46)</f>
        <v>Y</v>
      </c>
      <c r="E45" s="113" t="str">
        <f>IF('data input for RPA'!D46="","",'data input for RPA'!D46)</f>
        <v>Y</v>
      </c>
      <c r="F45" s="113">
        <f>IF('data input for RPA'!E46="","",'data input for RPA'!E46)</f>
        <v>0.5</v>
      </c>
      <c r="G45" s="113">
        <f>IF('data input for RPA'!F46="","",'data input for RPA'!F46)</f>
      </c>
      <c r="H45" s="10" t="str">
        <f t="shared" si="3"/>
        <v>No Criteria</v>
      </c>
      <c r="I45" s="114" t="str">
        <f t="shared" si="8"/>
        <v>No Criteria</v>
      </c>
      <c r="J45" s="10" t="str">
        <f t="shared" si="9"/>
        <v>No Criteria</v>
      </c>
      <c r="K45" s="114"/>
      <c r="L45" s="113" t="str">
        <f>IF('data input for RPA'!I46="","",'data input for RPA'!I46)</f>
        <v>Y</v>
      </c>
      <c r="M45" s="113" t="str">
        <f>IF('data input for RPA'!J46="","",'data input for RPA'!J46)</f>
        <v>Y</v>
      </c>
      <c r="N45" s="113">
        <f>IF('data input for RPA'!K46="","",'data input for RPA'!K46)</f>
        <v>0.5</v>
      </c>
      <c r="O45" s="113">
        <f>IF('data input for RPA'!L46="","",'data input for RPA'!L46)</f>
      </c>
      <c r="P45" s="113" t="str">
        <f t="shared" si="4"/>
        <v>N</v>
      </c>
      <c r="Q45" s="10" t="str">
        <f t="shared" si="5"/>
        <v>No Criteria</v>
      </c>
      <c r="R45" s="113" t="str">
        <f>'data input for RPA'!O46</f>
        <v>No Criteria</v>
      </c>
      <c r="S45" s="152" t="str">
        <f t="shared" si="7"/>
        <v>Uo</v>
      </c>
      <c r="T45" s="153" t="str">
        <f t="shared" si="6"/>
        <v>No Criteria</v>
      </c>
    </row>
    <row r="46" spans="1:20" ht="12.75">
      <c r="A46" s="7">
        <v>42</v>
      </c>
      <c r="B46" s="8" t="s">
        <v>57</v>
      </c>
      <c r="C46" s="99">
        <f>Criteria!C51</f>
        <v>42</v>
      </c>
      <c r="D46" s="113" t="str">
        <f>IF('data input for RPA'!C47="","",'data input for RPA'!C47)</f>
        <v>Y</v>
      </c>
      <c r="E46" s="113" t="str">
        <f>IF('data input for RPA'!D47="","",'data input for RPA'!D47)</f>
        <v>Y</v>
      </c>
      <c r="F46" s="113">
        <f>IF('data input for RPA'!E47="","",'data input for RPA'!E47)</f>
        <v>0.5</v>
      </c>
      <c r="G46" s="113">
        <f>IF('data input for RPA'!F47="","",'data input for RPA'!F47)</f>
      </c>
      <c r="H46" s="10" t="str">
        <f t="shared" si="3"/>
        <v>All ND, MDL&lt;C, MEC=MDL</v>
      </c>
      <c r="I46" s="114">
        <f t="shared" si="8"/>
        <v>0.5</v>
      </c>
      <c r="J46" s="10" t="str">
        <f t="shared" si="9"/>
        <v>MEC&lt;C, go to Step 5</v>
      </c>
      <c r="K46" s="114"/>
      <c r="L46" s="113" t="str">
        <f>IF('data input for RPA'!I47="","",'data input for RPA'!I47)</f>
        <v>Y</v>
      </c>
      <c r="M46" s="113" t="str">
        <f>IF('data input for RPA'!J47="","",'data input for RPA'!J47)</f>
        <v>Y</v>
      </c>
      <c r="N46" s="113">
        <f>IF('data input for RPA'!K47="","",'data input for RPA'!K47)</f>
        <v>0.5</v>
      </c>
      <c r="O46" s="113">
        <f>IF('data input for RPA'!L47="","",'data input for RPA'!L47)</f>
      </c>
      <c r="P46" s="113" t="str">
        <f t="shared" si="4"/>
        <v>N</v>
      </c>
      <c r="Q46" s="10" t="str">
        <f t="shared" si="5"/>
        <v>No detected value of B, Step 7</v>
      </c>
      <c r="R46" s="113">
        <f>'data input for RPA'!O47</f>
      </c>
      <c r="S46" s="152" t="str">
        <f t="shared" si="7"/>
        <v>No</v>
      </c>
      <c r="T46" s="153" t="str">
        <f t="shared" si="6"/>
        <v>Ud;MEC&lt;C &amp; B is ND</v>
      </c>
    </row>
    <row r="47" spans="1:20" ht="12.75">
      <c r="A47" s="7">
        <v>43</v>
      </c>
      <c r="B47" s="8" t="s">
        <v>58</v>
      </c>
      <c r="C47" s="99">
        <f>Criteria!C52</f>
        <v>81</v>
      </c>
      <c r="D47" s="113" t="str">
        <f>IF('data input for RPA'!C48="","",'data input for RPA'!C48)</f>
        <v>Y</v>
      </c>
      <c r="E47" s="113" t="str">
        <f>IF('data input for RPA'!D48="","",'data input for RPA'!D48)</f>
        <v>Y</v>
      </c>
      <c r="F47" s="113">
        <f>IF('data input for RPA'!E48="","",'data input for RPA'!E48)</f>
        <v>0.5</v>
      </c>
      <c r="G47" s="113">
        <f>IF('data input for RPA'!F48="","",'data input for RPA'!F48)</f>
      </c>
      <c r="H47" s="10" t="str">
        <f t="shared" si="3"/>
        <v>All ND, MDL&lt;C, MEC=MDL</v>
      </c>
      <c r="I47" s="114">
        <f t="shared" si="8"/>
        <v>0.5</v>
      </c>
      <c r="J47" s="10" t="str">
        <f t="shared" si="9"/>
        <v>MEC&lt;C, go to Step 5</v>
      </c>
      <c r="K47" s="114"/>
      <c r="L47" s="113" t="str">
        <f>IF('data input for RPA'!I48="","",'data input for RPA'!I48)</f>
        <v>Y</v>
      </c>
      <c r="M47" s="113" t="str">
        <f>IF('data input for RPA'!J48="","",'data input for RPA'!J48)</f>
        <v>Y</v>
      </c>
      <c r="N47" s="113">
        <f>IF('data input for RPA'!K48="","",'data input for RPA'!K48)</f>
        <v>0.5</v>
      </c>
      <c r="O47" s="113">
        <f>IF('data input for RPA'!L48="","",'data input for RPA'!L48)</f>
      </c>
      <c r="P47" s="113" t="str">
        <f t="shared" si="4"/>
        <v>N</v>
      </c>
      <c r="Q47" s="10" t="str">
        <f t="shared" si="5"/>
        <v>No detected value of B, Step 7</v>
      </c>
      <c r="R47" s="113">
        <f>'data input for RPA'!O48</f>
      </c>
      <c r="S47" s="152" t="str">
        <f t="shared" si="7"/>
        <v>No</v>
      </c>
      <c r="T47" s="153" t="str">
        <f t="shared" si="6"/>
        <v>Ud;MEC&lt;C &amp; B is ND</v>
      </c>
    </row>
    <row r="48" spans="1:20" ht="12.75">
      <c r="A48" s="7">
        <v>44</v>
      </c>
      <c r="B48" s="8" t="s">
        <v>59</v>
      </c>
      <c r="C48" s="99">
        <f>Criteria!C53</f>
        <v>525</v>
      </c>
      <c r="D48" s="113" t="str">
        <f>IF('data input for RPA'!C49="","",'data input for RPA'!C49)</f>
        <v>Y</v>
      </c>
      <c r="E48" s="113" t="str">
        <f>IF('data input for RPA'!D49="","",'data input for RPA'!D49)</f>
        <v>Y</v>
      </c>
      <c r="F48" s="113">
        <f>IF('data input for RPA'!E49="","",'data input for RPA'!E49)</f>
        <v>0.5</v>
      </c>
      <c r="G48" s="113">
        <f>IF('data input for RPA'!F49="","",'data input for RPA'!F49)</f>
      </c>
      <c r="H48" s="10" t="str">
        <f t="shared" si="3"/>
        <v>All ND, MDL&lt;C, MEC=MDL</v>
      </c>
      <c r="I48" s="114">
        <f t="shared" si="8"/>
        <v>0.5</v>
      </c>
      <c r="J48" s="10" t="str">
        <f t="shared" si="9"/>
        <v>MEC&lt;C, go to Step 5</v>
      </c>
      <c r="K48" s="114"/>
      <c r="L48" s="113" t="str">
        <f>IF('data input for RPA'!I49="","",'data input for RPA'!I49)</f>
        <v>Y</v>
      </c>
      <c r="M48" s="113" t="str">
        <f>IF('data input for RPA'!J49="","",'data input for RPA'!J49)</f>
        <v>Y</v>
      </c>
      <c r="N48" s="113">
        <f>IF('data input for RPA'!K49="","",'data input for RPA'!K49)</f>
        <v>0.5</v>
      </c>
      <c r="O48" s="113">
        <f>IF('data input for RPA'!L49="","",'data input for RPA'!L49)</f>
      </c>
      <c r="P48" s="113" t="str">
        <f t="shared" si="4"/>
        <v>N</v>
      </c>
      <c r="Q48" s="10" t="str">
        <f t="shared" si="5"/>
        <v>No detected value of B, Step 7</v>
      </c>
      <c r="R48" s="113">
        <f>'data input for RPA'!O49</f>
      </c>
      <c r="S48" s="152" t="str">
        <f t="shared" si="7"/>
        <v>No</v>
      </c>
      <c r="T48" s="153" t="str">
        <f t="shared" si="6"/>
        <v>Ud;MEC&lt;C &amp; B is ND</v>
      </c>
    </row>
    <row r="49" spans="1:20" ht="12.75">
      <c r="A49" s="7">
        <v>45</v>
      </c>
      <c r="B49" s="8" t="s">
        <v>60</v>
      </c>
      <c r="C49" s="99">
        <f>Criteria!C54</f>
        <v>400</v>
      </c>
      <c r="D49" s="113" t="str">
        <f>IF('data input for RPA'!C50="","",'data input for RPA'!C50)</f>
        <v>Y</v>
      </c>
      <c r="E49" s="113" t="str">
        <f>IF('data input for RPA'!D50="","",'data input for RPA'!D50)</f>
        <v>Y</v>
      </c>
      <c r="F49" s="113">
        <f>IF('data input for RPA'!E50="","",'data input for RPA'!E50)</f>
        <v>1</v>
      </c>
      <c r="G49" s="113">
        <f>IF('data input for RPA'!F50="","",'data input for RPA'!F50)</f>
      </c>
      <c r="H49" s="10" t="str">
        <f t="shared" si="3"/>
        <v>All ND, MDL&lt;C, MEC=MDL</v>
      </c>
      <c r="I49" s="114">
        <f t="shared" si="8"/>
        <v>1</v>
      </c>
      <c r="J49" s="10" t="str">
        <f t="shared" si="9"/>
        <v>MEC&lt;C, go to Step 5</v>
      </c>
      <c r="K49" s="114"/>
      <c r="L49" s="113" t="str">
        <f>IF('data input for RPA'!I50="","",'data input for RPA'!I50)</f>
        <v>Y</v>
      </c>
      <c r="M49" s="113" t="str">
        <f>IF('data input for RPA'!J50="","",'data input for RPA'!J50)</f>
        <v>Y</v>
      </c>
      <c r="N49" s="113">
        <f>IF('data input for RPA'!K50="","",'data input for RPA'!K50)</f>
        <v>1</v>
      </c>
      <c r="O49" s="113">
        <f>IF('data input for RPA'!L50="","",'data input for RPA'!L50)</f>
      </c>
      <c r="P49" s="113" t="str">
        <f t="shared" si="4"/>
        <v>N</v>
      </c>
      <c r="Q49" s="10" t="str">
        <f t="shared" si="5"/>
        <v>No detected value of B, Step 7</v>
      </c>
      <c r="R49" s="113">
        <f>'data input for RPA'!O50</f>
      </c>
      <c r="S49" s="152" t="str">
        <f t="shared" si="7"/>
        <v>No</v>
      </c>
      <c r="T49" s="153" t="str">
        <f t="shared" si="6"/>
        <v>Ud;MEC&lt;C &amp; B is ND</v>
      </c>
    </row>
    <row r="50" spans="1:20" ht="12.75">
      <c r="A50" s="7">
        <v>46</v>
      </c>
      <c r="B50" s="8" t="s">
        <v>61</v>
      </c>
      <c r="C50" s="99">
        <f>Criteria!C55</f>
        <v>790</v>
      </c>
      <c r="D50" s="113" t="str">
        <f>IF('data input for RPA'!C51="","",'data input for RPA'!C51)</f>
        <v>Y</v>
      </c>
      <c r="E50" s="113" t="str">
        <f>IF('data input for RPA'!D51="","",'data input for RPA'!D51)</f>
        <v>Y</v>
      </c>
      <c r="F50" s="113">
        <f>IF('data input for RPA'!E51="","",'data input for RPA'!E51)</f>
        <v>1</v>
      </c>
      <c r="G50" s="113">
        <f>IF('data input for RPA'!F51="","",'data input for RPA'!F51)</f>
      </c>
      <c r="H50" s="10" t="str">
        <f t="shared" si="3"/>
        <v>All ND, MDL&lt;C, MEC=MDL</v>
      </c>
      <c r="I50" s="114">
        <f t="shared" si="8"/>
        <v>1</v>
      </c>
      <c r="J50" s="10" t="str">
        <f t="shared" si="9"/>
        <v>MEC&lt;C, go to Step 5</v>
      </c>
      <c r="K50" s="114"/>
      <c r="L50" s="113" t="str">
        <f>IF('data input for RPA'!I51="","",'data input for RPA'!I51)</f>
        <v>Y</v>
      </c>
      <c r="M50" s="113" t="str">
        <f>IF('data input for RPA'!J51="","",'data input for RPA'!J51)</f>
        <v>Y</v>
      </c>
      <c r="N50" s="113">
        <f>IF('data input for RPA'!K51="","",'data input for RPA'!K51)</f>
        <v>1</v>
      </c>
      <c r="O50" s="113">
        <f>IF('data input for RPA'!L51="","",'data input for RPA'!L51)</f>
      </c>
      <c r="P50" s="113" t="str">
        <f t="shared" si="4"/>
        <v>N</v>
      </c>
      <c r="Q50" s="10" t="str">
        <f t="shared" si="5"/>
        <v>No detected value of B, Step 7</v>
      </c>
      <c r="R50" s="113">
        <f>'data input for RPA'!O51</f>
      </c>
      <c r="S50" s="152" t="str">
        <f t="shared" si="7"/>
        <v>No</v>
      </c>
      <c r="T50" s="153" t="str">
        <f t="shared" si="6"/>
        <v>Ud;MEC&lt;C &amp; B is ND</v>
      </c>
    </row>
    <row r="51" spans="1:20" ht="12.75">
      <c r="A51" s="7">
        <v>47</v>
      </c>
      <c r="B51" s="8" t="s">
        <v>62</v>
      </c>
      <c r="C51" s="99">
        <f>Criteria!C56</f>
        <v>2300</v>
      </c>
      <c r="D51" s="113" t="str">
        <f>IF('data input for RPA'!C52="","",'data input for RPA'!C52)</f>
        <v>Y</v>
      </c>
      <c r="E51" s="113" t="str">
        <f>IF('data input for RPA'!D52="","",'data input for RPA'!D52)</f>
        <v>Y</v>
      </c>
      <c r="F51" s="113">
        <f>IF('data input for RPA'!E52="","",'data input for RPA'!E52)</f>
        <v>1</v>
      </c>
      <c r="G51" s="113">
        <f>IF('data input for RPA'!F52="","",'data input for RPA'!F52)</f>
      </c>
      <c r="H51" s="10" t="str">
        <f t="shared" si="3"/>
        <v>All ND, MDL&lt;C, MEC=MDL</v>
      </c>
      <c r="I51" s="114">
        <f t="shared" si="8"/>
        <v>1</v>
      </c>
      <c r="J51" s="10" t="str">
        <f t="shared" si="9"/>
        <v>MEC&lt;C, go to Step 5</v>
      </c>
      <c r="K51" s="114"/>
      <c r="L51" s="113" t="str">
        <f>IF('data input for RPA'!I52="","",'data input for RPA'!I52)</f>
        <v>Y</v>
      </c>
      <c r="M51" s="113" t="str">
        <f>IF('data input for RPA'!J52="","",'data input for RPA'!J52)</f>
        <v>Y</v>
      </c>
      <c r="N51" s="113">
        <f>IF('data input for RPA'!K52="","",'data input for RPA'!K52)</f>
        <v>1</v>
      </c>
      <c r="O51" s="113">
        <f>IF('data input for RPA'!L52="","",'data input for RPA'!L52)</f>
      </c>
      <c r="P51" s="113" t="str">
        <f t="shared" si="4"/>
        <v>N</v>
      </c>
      <c r="Q51" s="10" t="str">
        <f t="shared" si="5"/>
        <v>No detected value of B, Step 7</v>
      </c>
      <c r="R51" s="113">
        <f>'data input for RPA'!O52</f>
      </c>
      <c r="S51" s="152" t="str">
        <f t="shared" si="7"/>
        <v>No</v>
      </c>
      <c r="T51" s="153" t="str">
        <f t="shared" si="6"/>
        <v>Ud;MEC&lt;C &amp; B is ND</v>
      </c>
    </row>
    <row r="52" spans="1:20" ht="12.75">
      <c r="A52" s="7">
        <v>48</v>
      </c>
      <c r="B52" s="8" t="s">
        <v>63</v>
      </c>
      <c r="C52" s="99">
        <f>Criteria!C57</f>
        <v>765</v>
      </c>
      <c r="D52" s="113" t="str">
        <f>IF('data input for RPA'!C53="","",'data input for RPA'!C53)</f>
        <v>Y</v>
      </c>
      <c r="E52" s="113" t="str">
        <f>IF('data input for RPA'!D53="","",'data input for RPA'!D53)</f>
        <v>Y</v>
      </c>
      <c r="F52" s="113">
        <f>IF('data input for RPA'!E53="","",'data input for RPA'!E53)</f>
        <v>1</v>
      </c>
      <c r="G52" s="113">
        <f>IF('data input for RPA'!F53="","",'data input for RPA'!F53)</f>
      </c>
      <c r="H52" s="10" t="str">
        <f t="shared" si="3"/>
        <v>All ND, MDL&lt;C, MEC=MDL</v>
      </c>
      <c r="I52" s="114">
        <f t="shared" si="8"/>
        <v>1</v>
      </c>
      <c r="J52" s="10" t="str">
        <f t="shared" si="9"/>
        <v>MEC&lt;C, go to Step 5</v>
      </c>
      <c r="K52" s="114"/>
      <c r="L52" s="113" t="str">
        <f>IF('data input for RPA'!I53="","",'data input for RPA'!I53)</f>
        <v>Y</v>
      </c>
      <c r="M52" s="113" t="str">
        <f>IF('data input for RPA'!J53="","",'data input for RPA'!J53)</f>
        <v>Y</v>
      </c>
      <c r="N52" s="113">
        <f>IF('data input for RPA'!K53="","",'data input for RPA'!K53)</f>
        <v>1</v>
      </c>
      <c r="O52" s="113">
        <f>IF('data input for RPA'!L53="","",'data input for RPA'!L53)</f>
      </c>
      <c r="P52" s="113" t="str">
        <f t="shared" si="4"/>
        <v>N</v>
      </c>
      <c r="Q52" s="10" t="str">
        <f t="shared" si="5"/>
        <v>No detected value of B, Step 7</v>
      </c>
      <c r="R52" s="113">
        <f>'data input for RPA'!O53</f>
      </c>
      <c r="S52" s="152" t="str">
        <f t="shared" si="7"/>
        <v>No</v>
      </c>
      <c r="T52" s="153" t="str">
        <f t="shared" si="6"/>
        <v>Ud;MEC&lt;C &amp; B is ND</v>
      </c>
    </row>
    <row r="53" spans="1:20" ht="12.75">
      <c r="A53" s="7">
        <v>49</v>
      </c>
      <c r="B53" s="8" t="s">
        <v>64</v>
      </c>
      <c r="C53" s="99">
        <f>Criteria!C58</f>
        <v>14000</v>
      </c>
      <c r="D53" s="113" t="str">
        <f>IF('data input for RPA'!C54="","",'data input for RPA'!C54)</f>
        <v>Y</v>
      </c>
      <c r="E53" s="113" t="str">
        <f>IF('data input for RPA'!D54="","",'data input for RPA'!D54)</f>
        <v>Y</v>
      </c>
      <c r="F53" s="113">
        <f>IF('data input for RPA'!E54="","",'data input for RPA'!E54)</f>
        <v>2</v>
      </c>
      <c r="G53" s="113">
        <f>IF('data input for RPA'!F54="","",'data input for RPA'!F54)</f>
      </c>
      <c r="H53" s="10" t="str">
        <f t="shared" si="3"/>
        <v>All ND, MDL&lt;C, MEC=MDL</v>
      </c>
      <c r="I53" s="114">
        <f t="shared" si="8"/>
        <v>2</v>
      </c>
      <c r="J53" s="10" t="str">
        <f t="shared" si="9"/>
        <v>MEC&lt;C, go to Step 5</v>
      </c>
      <c r="K53" s="114"/>
      <c r="L53" s="113" t="str">
        <f>IF('data input for RPA'!I54="","",'data input for RPA'!I54)</f>
        <v>Y</v>
      </c>
      <c r="M53" s="113" t="str">
        <f>IF('data input for RPA'!J54="","",'data input for RPA'!J54)</f>
        <v>Y</v>
      </c>
      <c r="N53" s="113">
        <f>IF('data input for RPA'!K54="","",'data input for RPA'!K54)</f>
        <v>2</v>
      </c>
      <c r="O53" s="113">
        <f>IF('data input for RPA'!L54="","",'data input for RPA'!L54)</f>
      </c>
      <c r="P53" s="113" t="str">
        <f t="shared" si="4"/>
        <v>N</v>
      </c>
      <c r="Q53" s="10" t="str">
        <f t="shared" si="5"/>
        <v>No detected value of B, Step 7</v>
      </c>
      <c r="R53" s="113">
        <f>'data input for RPA'!O54</f>
      </c>
      <c r="S53" s="152" t="str">
        <f t="shared" si="7"/>
        <v>No</v>
      </c>
      <c r="T53" s="153" t="str">
        <f t="shared" si="6"/>
        <v>Ud;MEC&lt;C &amp; B is ND</v>
      </c>
    </row>
    <row r="54" spans="1:20" ht="12.75">
      <c r="A54" s="7">
        <v>50</v>
      </c>
      <c r="B54" s="8" t="s">
        <v>65</v>
      </c>
      <c r="C54" s="99" t="str">
        <f>Criteria!C59</f>
        <v>No Criteria</v>
      </c>
      <c r="D54" s="113" t="str">
        <f>IF('data input for RPA'!C55="","",'data input for RPA'!C55)</f>
        <v>Y</v>
      </c>
      <c r="E54" s="113" t="str">
        <f>IF('data input for RPA'!D55="","",'data input for RPA'!D55)</f>
        <v>Y</v>
      </c>
      <c r="F54" s="113">
        <f>IF('data input for RPA'!E55="","",'data input for RPA'!E55)</f>
        <v>1</v>
      </c>
      <c r="G54" s="113">
        <f>IF('data input for RPA'!F55="","",'data input for RPA'!F55)</f>
      </c>
      <c r="H54" s="10" t="str">
        <f t="shared" si="3"/>
        <v>No Criteria</v>
      </c>
      <c r="I54" s="114" t="str">
        <f t="shared" si="8"/>
        <v>No Criteria</v>
      </c>
      <c r="J54" s="10" t="str">
        <f t="shared" si="9"/>
        <v>No Criteria</v>
      </c>
      <c r="K54" s="114"/>
      <c r="L54" s="113" t="str">
        <f>IF('data input for RPA'!I55="","",'data input for RPA'!I55)</f>
        <v>Y</v>
      </c>
      <c r="M54" s="113" t="str">
        <f>IF('data input for RPA'!J55="","",'data input for RPA'!J55)</f>
        <v>Y</v>
      </c>
      <c r="N54" s="113">
        <f>IF('data input for RPA'!K55="","",'data input for RPA'!K55)</f>
        <v>1</v>
      </c>
      <c r="O54" s="113">
        <f>IF('data input for RPA'!L55="","",'data input for RPA'!L55)</f>
      </c>
      <c r="P54" s="113" t="str">
        <f t="shared" si="4"/>
        <v>N</v>
      </c>
      <c r="Q54" s="10" t="str">
        <f t="shared" si="5"/>
        <v>No Criteria</v>
      </c>
      <c r="R54" s="113" t="str">
        <f>'data input for RPA'!O55</f>
        <v>No Criteria</v>
      </c>
      <c r="S54" s="152" t="str">
        <f t="shared" si="7"/>
        <v>Uo</v>
      </c>
      <c r="T54" s="153" t="str">
        <f t="shared" si="6"/>
        <v>No Criteria</v>
      </c>
    </row>
    <row r="55" spans="1:20" ht="12.75">
      <c r="A55" s="7">
        <v>51</v>
      </c>
      <c r="B55" s="8" t="s">
        <v>66</v>
      </c>
      <c r="C55" s="99" t="str">
        <f>Criteria!C60</f>
        <v>No Criteria</v>
      </c>
      <c r="D55" s="113" t="str">
        <f>IF('data input for RPA'!C56="","",'data input for RPA'!C56)</f>
        <v>Y</v>
      </c>
      <c r="E55" s="113" t="str">
        <f>IF('data input for RPA'!D56="","",'data input for RPA'!D56)</f>
        <v>Y</v>
      </c>
      <c r="F55" s="113">
        <f>IF('data input for RPA'!E56="","",'data input for RPA'!E56)</f>
        <v>2</v>
      </c>
      <c r="G55" s="113">
        <f>IF('data input for RPA'!F56="","",'data input for RPA'!F56)</f>
      </c>
      <c r="H55" s="10" t="str">
        <f t="shared" si="3"/>
        <v>No Criteria</v>
      </c>
      <c r="I55" s="114" t="str">
        <f t="shared" si="8"/>
        <v>No Criteria</v>
      </c>
      <c r="J55" s="10" t="str">
        <f t="shared" si="9"/>
        <v>No Criteria</v>
      </c>
      <c r="K55" s="114"/>
      <c r="L55" s="113" t="str">
        <f>IF('data input for RPA'!I56="","",'data input for RPA'!I56)</f>
        <v>Y</v>
      </c>
      <c r="M55" s="113" t="str">
        <f>IF('data input for RPA'!J56="","",'data input for RPA'!J56)</f>
        <v>Y</v>
      </c>
      <c r="N55" s="113">
        <f>IF('data input for RPA'!K56="","",'data input for RPA'!K56)</f>
        <v>2</v>
      </c>
      <c r="O55" s="113">
        <f>IF('data input for RPA'!L56="","",'data input for RPA'!L56)</f>
      </c>
      <c r="P55" s="113" t="str">
        <f t="shared" si="4"/>
        <v>N</v>
      </c>
      <c r="Q55" s="10" t="str">
        <f t="shared" si="5"/>
        <v>No Criteria</v>
      </c>
      <c r="R55" s="113" t="str">
        <f>'data input for RPA'!O56</f>
        <v>No Criteria</v>
      </c>
      <c r="S55" s="152" t="str">
        <f t="shared" si="7"/>
        <v>Uo</v>
      </c>
      <c r="T55" s="153" t="str">
        <f t="shared" si="6"/>
        <v>No Criteria</v>
      </c>
    </row>
    <row r="56" spans="1:20" ht="12.75">
      <c r="A56" s="7">
        <v>52</v>
      </c>
      <c r="B56" s="8" t="s">
        <v>67</v>
      </c>
      <c r="C56" s="99" t="str">
        <f>Criteria!C61</f>
        <v>No Criteria</v>
      </c>
      <c r="D56" s="113" t="str">
        <f>IF('data input for RPA'!C57="","",'data input for RPA'!C57)</f>
        <v>Y</v>
      </c>
      <c r="E56" s="113" t="str">
        <f>IF('data input for RPA'!D57="","",'data input for RPA'!D57)</f>
        <v>Y</v>
      </c>
      <c r="F56" s="113">
        <f>IF('data input for RPA'!E57="","",'data input for RPA'!E57)</f>
        <v>0.5</v>
      </c>
      <c r="G56" s="113">
        <f>IF('data input for RPA'!F57="","",'data input for RPA'!F57)</f>
      </c>
      <c r="H56" s="10" t="str">
        <f t="shared" si="3"/>
        <v>No Criteria</v>
      </c>
      <c r="I56" s="114" t="str">
        <f t="shared" si="8"/>
        <v>No Criteria</v>
      </c>
      <c r="J56" s="10" t="str">
        <f t="shared" si="9"/>
        <v>No Criteria</v>
      </c>
      <c r="K56" s="114"/>
      <c r="L56" s="113" t="str">
        <f>IF('data input for RPA'!I57="","",'data input for RPA'!I57)</f>
        <v>Y</v>
      </c>
      <c r="M56" s="113" t="str">
        <f>IF('data input for RPA'!J57="","",'data input for RPA'!J57)</f>
        <v>Y</v>
      </c>
      <c r="N56" s="113">
        <f>IF('data input for RPA'!K57="","",'data input for RPA'!K57)</f>
        <v>0.5</v>
      </c>
      <c r="O56" s="113">
        <f>IF('data input for RPA'!L57="","",'data input for RPA'!L57)</f>
      </c>
      <c r="P56" s="113" t="str">
        <f t="shared" si="4"/>
        <v>N</v>
      </c>
      <c r="Q56" s="10" t="str">
        <f t="shared" si="5"/>
        <v>No Criteria</v>
      </c>
      <c r="R56" s="113" t="str">
        <f>'data input for RPA'!O57</f>
        <v>No Criteria</v>
      </c>
      <c r="S56" s="152" t="str">
        <f t="shared" si="7"/>
        <v>Uo</v>
      </c>
      <c r="T56" s="153" t="str">
        <f t="shared" si="6"/>
        <v>No Criteria</v>
      </c>
    </row>
    <row r="57" spans="1:20" ht="12.75">
      <c r="A57" s="7">
        <v>53</v>
      </c>
      <c r="B57" s="8" t="s">
        <v>68</v>
      </c>
      <c r="C57" s="101">
        <f>Criteria!C62</f>
        <v>7.9</v>
      </c>
      <c r="D57" s="113" t="str">
        <f>IF('data input for RPA'!C58="","",'data input for RPA'!C58)</f>
        <v>Y</v>
      </c>
      <c r="E57" s="113" t="str">
        <f>IF('data input for RPA'!D58="","",'data input for RPA'!D58)</f>
        <v>Y</v>
      </c>
      <c r="F57" s="113">
        <f>IF('data input for RPA'!E58="","",'data input for RPA'!E58)</f>
        <v>1</v>
      </c>
      <c r="G57" s="113">
        <f>IF('data input for RPA'!F58="","",'data input for RPA'!F58)</f>
      </c>
      <c r="H57" s="10" t="str">
        <f t="shared" si="3"/>
        <v>All ND, MDL&lt;C, MEC=MDL</v>
      </c>
      <c r="I57" s="114">
        <f t="shared" si="8"/>
        <v>1</v>
      </c>
      <c r="J57" s="10" t="str">
        <f t="shared" si="9"/>
        <v>MEC&lt;C, go to Step 5</v>
      </c>
      <c r="K57" s="114"/>
      <c r="L57" s="113" t="str">
        <f>IF('data input for RPA'!I58="","",'data input for RPA'!I58)</f>
        <v>Y</v>
      </c>
      <c r="M57" s="113" t="str">
        <f>IF('data input for RPA'!J58="","",'data input for RPA'!J58)</f>
        <v>Y</v>
      </c>
      <c r="N57" s="113">
        <f>IF('data input for RPA'!K58="","",'data input for RPA'!K58)</f>
        <v>1</v>
      </c>
      <c r="O57" s="113">
        <f>IF('data input for RPA'!L58="","",'data input for RPA'!L58)</f>
      </c>
      <c r="P57" s="113" t="str">
        <f t="shared" si="4"/>
        <v>N</v>
      </c>
      <c r="Q57" s="10" t="str">
        <f t="shared" si="5"/>
        <v>No detected value of B, Step 7</v>
      </c>
      <c r="R57" s="113">
        <f>'data input for RPA'!O58</f>
      </c>
      <c r="S57" s="152" t="str">
        <f t="shared" si="7"/>
        <v>No</v>
      </c>
      <c r="T57" s="153" t="str">
        <f t="shared" si="6"/>
        <v>Ud;MEC&lt;C &amp; B is ND</v>
      </c>
    </row>
    <row r="58" spans="1:20" ht="12.75">
      <c r="A58" s="7">
        <v>54</v>
      </c>
      <c r="B58" s="8" t="s">
        <v>69</v>
      </c>
      <c r="C58" s="99">
        <f>Criteria!C63</f>
        <v>4600000</v>
      </c>
      <c r="D58" s="113" t="str">
        <f>IF('data input for RPA'!C59="","",'data input for RPA'!C59)</f>
        <v>Y</v>
      </c>
      <c r="E58" s="113" t="str">
        <f>IF('data input for RPA'!D59="","",'data input for RPA'!D59)</f>
        <v>N</v>
      </c>
      <c r="F58" s="113">
        <f>IF('data input for RPA'!E59="","",'data input for RPA'!E59)</f>
      </c>
      <c r="G58" s="113">
        <f>IF('data input for RPA'!F59="","",'data input for RPA'!F59)</f>
        <v>0.061</v>
      </c>
      <c r="H58" s="10">
        <f t="shared" si="3"/>
      </c>
      <c r="I58" s="114">
        <f t="shared" si="8"/>
        <v>0.061</v>
      </c>
      <c r="J58" s="10" t="str">
        <f t="shared" si="9"/>
        <v>MEC&lt;C, go to Step 5</v>
      </c>
      <c r="K58" s="114"/>
      <c r="L58" s="113" t="str">
        <f>IF('data input for RPA'!I59="","",'data input for RPA'!I59)</f>
        <v>Y</v>
      </c>
      <c r="M58" s="113" t="str">
        <f>IF('data input for RPA'!J59="","",'data input for RPA'!J59)</f>
        <v>Y</v>
      </c>
      <c r="N58" s="113">
        <f>IF('data input for RPA'!K59="","",'data input for RPA'!K59)</f>
        <v>0.5</v>
      </c>
      <c r="O58" s="113">
        <f>IF('data input for RPA'!L59="","",'data input for RPA'!L59)</f>
      </c>
      <c r="P58" s="113" t="str">
        <f t="shared" si="4"/>
        <v>N</v>
      </c>
      <c r="Q58" s="10" t="str">
        <f t="shared" si="5"/>
        <v>No detected value of B, Step 7</v>
      </c>
      <c r="R58" s="113">
        <f>'data input for RPA'!O59</f>
      </c>
      <c r="S58" s="152" t="str">
        <f t="shared" si="7"/>
        <v>No</v>
      </c>
      <c r="T58" s="153" t="str">
        <f t="shared" si="6"/>
        <v>Ud;MEC&lt;C &amp; B is ND</v>
      </c>
    </row>
    <row r="59" spans="1:20" ht="12.75">
      <c r="A59" s="7">
        <v>55</v>
      </c>
      <c r="B59" s="8" t="s">
        <v>70</v>
      </c>
      <c r="C59" s="101">
        <f>Criteria!C64</f>
        <v>6.5</v>
      </c>
      <c r="D59" s="113" t="str">
        <f>IF('data input for RPA'!C60="","",'data input for RPA'!C60)</f>
        <v>Y</v>
      </c>
      <c r="E59" s="113" t="str">
        <f>IF('data input for RPA'!D60="","",'data input for RPA'!D60)</f>
        <v>Y</v>
      </c>
      <c r="F59" s="113">
        <f>IF('data input for RPA'!E60="","",'data input for RPA'!E60)</f>
        <v>1</v>
      </c>
      <c r="G59" s="113">
        <f>IF('data input for RPA'!F60="","",'data input for RPA'!F60)</f>
      </c>
      <c r="H59" s="10" t="str">
        <f t="shared" si="3"/>
        <v>All ND, MDL&lt;C, MEC=MDL</v>
      </c>
      <c r="I59" s="114">
        <f t="shared" si="8"/>
        <v>1</v>
      </c>
      <c r="J59" s="10" t="str">
        <f t="shared" si="9"/>
        <v>MEC&lt;C, go to Step 5</v>
      </c>
      <c r="K59" s="114"/>
      <c r="L59" s="113" t="str">
        <f>IF('data input for RPA'!I60="","",'data input for RPA'!I60)</f>
        <v>Y</v>
      </c>
      <c r="M59" s="113" t="str">
        <f>IF('data input for RPA'!J60="","",'data input for RPA'!J60)</f>
        <v>Y</v>
      </c>
      <c r="N59" s="113">
        <f>IF('data input for RPA'!K60="","",'data input for RPA'!K60)</f>
        <v>1</v>
      </c>
      <c r="O59" s="113">
        <f>IF('data input for RPA'!L60="","",'data input for RPA'!L60)</f>
      </c>
      <c r="P59" s="113" t="str">
        <f t="shared" si="4"/>
        <v>N</v>
      </c>
      <c r="Q59" s="10" t="str">
        <f t="shared" si="5"/>
        <v>No detected value of B, Step 7</v>
      </c>
      <c r="R59" s="113">
        <f>'data input for RPA'!O60</f>
      </c>
      <c r="S59" s="152" t="str">
        <f t="shared" si="7"/>
        <v>No</v>
      </c>
      <c r="T59" s="153" t="str">
        <f t="shared" si="6"/>
        <v>Ud;MEC&lt;C &amp; B is ND</v>
      </c>
    </row>
    <row r="60" spans="1:20" ht="12.75">
      <c r="A60" s="7">
        <v>56</v>
      </c>
      <c r="B60" s="8" t="s">
        <v>71</v>
      </c>
      <c r="C60" s="99">
        <f>Criteria!C65</f>
        <v>2700</v>
      </c>
      <c r="D60" s="113" t="str">
        <f>IF('data input for RPA'!C61="","",'data input for RPA'!C61)</f>
        <v>Y</v>
      </c>
      <c r="E60" s="113" t="str">
        <f>IF('data input for RPA'!D61="","",'data input for RPA'!D61)</f>
        <v>Y</v>
      </c>
      <c r="F60" s="113">
        <f>IF('data input for RPA'!E61="","",'data input for RPA'!E61)</f>
        <v>0.5</v>
      </c>
      <c r="G60" s="113">
        <f>IF('data input for RPA'!F61="","",'data input for RPA'!F61)</f>
      </c>
      <c r="H60" s="10" t="str">
        <f t="shared" si="3"/>
        <v>All ND, MDL&lt;C, MEC=MDL</v>
      </c>
      <c r="I60" s="114">
        <f t="shared" si="8"/>
        <v>0.5</v>
      </c>
      <c r="J60" s="10" t="str">
        <f t="shared" si="9"/>
        <v>MEC&lt;C, go to Step 5</v>
      </c>
      <c r="K60" s="114"/>
      <c r="L60" s="113" t="str">
        <f>IF('data input for RPA'!I61="","",'data input for RPA'!I61)</f>
        <v>Y</v>
      </c>
      <c r="M60" s="113" t="str">
        <f>IF('data input for RPA'!J61="","",'data input for RPA'!J61)</f>
        <v>Y</v>
      </c>
      <c r="N60" s="113">
        <f>IF('data input for RPA'!K61="","",'data input for RPA'!K61)</f>
        <v>0.5</v>
      </c>
      <c r="O60" s="113">
        <f>IF('data input for RPA'!L61="","",'data input for RPA'!L61)</f>
      </c>
      <c r="P60" s="113" t="str">
        <f t="shared" si="4"/>
        <v>N</v>
      </c>
      <c r="Q60" s="10" t="str">
        <f t="shared" si="5"/>
        <v>No detected value of B, Step 7</v>
      </c>
      <c r="R60" s="113">
        <f>'data input for RPA'!O61</f>
      </c>
      <c r="S60" s="152" t="str">
        <f t="shared" si="7"/>
        <v>No</v>
      </c>
      <c r="T60" s="153" t="str">
        <f t="shared" si="6"/>
        <v>Ud;MEC&lt;C &amp; B is ND</v>
      </c>
    </row>
    <row r="61" spans="1:20" ht="12.75">
      <c r="A61" s="7">
        <v>57</v>
      </c>
      <c r="B61" s="8" t="s">
        <v>72</v>
      </c>
      <c r="C61" s="99" t="str">
        <f>Criteria!C66</f>
        <v>No Criteria</v>
      </c>
      <c r="D61" s="113" t="str">
        <f>IF('data input for RPA'!C62="","",'data input for RPA'!C62)</f>
        <v>Y</v>
      </c>
      <c r="E61" s="113" t="str">
        <f>IF('data input for RPA'!D62="","",'data input for RPA'!D62)</f>
        <v>Y</v>
      </c>
      <c r="F61" s="113">
        <f>IF('data input for RPA'!E62="","",'data input for RPA'!E62)</f>
        <v>0.5</v>
      </c>
      <c r="G61" s="113">
        <f>IF('data input for RPA'!F62="","",'data input for RPA'!F62)</f>
      </c>
      <c r="H61" s="10" t="str">
        <f t="shared" si="3"/>
        <v>No Criteria</v>
      </c>
      <c r="I61" s="114" t="str">
        <f t="shared" si="8"/>
        <v>No Criteria</v>
      </c>
      <c r="J61" s="10" t="str">
        <f t="shared" si="9"/>
        <v>No Criteria</v>
      </c>
      <c r="K61" s="114"/>
      <c r="L61" s="113" t="str">
        <f>IF('data input for RPA'!I62="","",'data input for RPA'!I62)</f>
        <v>Y</v>
      </c>
      <c r="M61" s="113" t="str">
        <f>IF('data input for RPA'!J62="","",'data input for RPA'!J62)</f>
        <v>Y</v>
      </c>
      <c r="N61" s="113">
        <f>IF('data input for RPA'!K62="","",'data input for RPA'!K62)</f>
        <v>1</v>
      </c>
      <c r="O61" s="113">
        <f>IF('data input for RPA'!L62="","",'data input for RPA'!L62)</f>
      </c>
      <c r="P61" s="113" t="str">
        <f t="shared" si="4"/>
        <v>N</v>
      </c>
      <c r="Q61" s="10" t="str">
        <f t="shared" si="5"/>
        <v>No Criteria</v>
      </c>
      <c r="R61" s="113" t="str">
        <f>'data input for RPA'!O62</f>
        <v>No Criteria</v>
      </c>
      <c r="S61" s="152" t="str">
        <f t="shared" si="7"/>
        <v>Uo</v>
      </c>
      <c r="T61" s="153" t="str">
        <f t="shared" si="6"/>
        <v>No Criteria</v>
      </c>
    </row>
    <row r="62" spans="1:20" ht="12.75">
      <c r="A62" s="7">
        <v>58</v>
      </c>
      <c r="B62" s="8" t="s">
        <v>73</v>
      </c>
      <c r="C62" s="99">
        <f>Criteria!C67</f>
        <v>110000</v>
      </c>
      <c r="D62" s="113" t="str">
        <f>IF('data input for RPA'!C63="","",'data input for RPA'!C63)</f>
        <v>Y</v>
      </c>
      <c r="E62" s="113" t="str">
        <f>IF('data input for RPA'!D63="","",'data input for RPA'!D63)</f>
        <v>Y</v>
      </c>
      <c r="F62" s="113">
        <f>IF('data input for RPA'!E63="","",'data input for RPA'!E63)</f>
        <v>1</v>
      </c>
      <c r="G62" s="113">
        <f>IF('data input for RPA'!F63="","",'data input for RPA'!F63)</f>
      </c>
      <c r="H62" s="10" t="str">
        <f t="shared" si="3"/>
        <v>All ND, MDL&lt;C, MEC=MDL</v>
      </c>
      <c r="I62" s="114">
        <f t="shared" si="8"/>
        <v>1</v>
      </c>
      <c r="J62" s="10" t="str">
        <f t="shared" si="9"/>
        <v>MEC&lt;C, go to Step 5</v>
      </c>
      <c r="K62" s="114"/>
      <c r="L62" s="113" t="str">
        <f>IF('data input for RPA'!I63="","",'data input for RPA'!I63)</f>
        <v>Y</v>
      </c>
      <c r="M62" s="113" t="str">
        <f>IF('data input for RPA'!J63="","",'data input for RPA'!J63)</f>
        <v>Y</v>
      </c>
      <c r="N62" s="113">
        <f>IF('data input for RPA'!K63="","",'data input for RPA'!K63)</f>
        <v>1</v>
      </c>
      <c r="O62" s="113">
        <f>IF('data input for RPA'!L63="","",'data input for RPA'!L63)</f>
      </c>
      <c r="P62" s="113" t="str">
        <f t="shared" si="4"/>
        <v>N</v>
      </c>
      <c r="Q62" s="10" t="str">
        <f t="shared" si="5"/>
        <v>No detected value of B, Step 7</v>
      </c>
      <c r="R62" s="113">
        <f>'data input for RPA'!O63</f>
      </c>
      <c r="S62" s="152" t="str">
        <f t="shared" si="7"/>
        <v>No</v>
      </c>
      <c r="T62" s="153" t="str">
        <f t="shared" si="6"/>
        <v>Ud;MEC&lt;C &amp; B is ND</v>
      </c>
    </row>
    <row r="63" spans="1:20" ht="12.75">
      <c r="A63" s="7">
        <v>59</v>
      </c>
      <c r="B63" s="8" t="s">
        <v>74</v>
      </c>
      <c r="C63" s="105">
        <f>Criteria!C68</f>
        <v>0.00054</v>
      </c>
      <c r="D63" s="113" t="str">
        <f>IF('data input for RPA'!C64="","",'data input for RPA'!C64)</f>
        <v>Y</v>
      </c>
      <c r="E63" s="113" t="str">
        <f>IF('data input for RPA'!D64="","",'data input for RPA'!D64)</f>
        <v>Y</v>
      </c>
      <c r="F63" s="113">
        <f>IF('data input for RPA'!E64="","",'data input for RPA'!E64)</f>
        <v>1</v>
      </c>
      <c r="G63" s="113">
        <f>IF('data input for RPA'!F64="","",'data input for RPA'!F64)</f>
      </c>
      <c r="H63" s="10" t="str">
        <f t="shared" si="3"/>
        <v>All ND, MinDL&gt;C, Go to Step 5, &amp; IM</v>
      </c>
      <c r="I63" s="114">
        <f t="shared" si="8"/>
      </c>
      <c r="J63" s="10">
        <f t="shared" si="9"/>
      </c>
      <c r="K63" s="114"/>
      <c r="L63" s="113" t="str">
        <f>IF('data input for RPA'!I64="","",'data input for RPA'!I64)</f>
        <v>Y</v>
      </c>
      <c r="M63" s="113" t="str">
        <f>IF('data input for RPA'!J64="","",'data input for RPA'!J64)</f>
        <v>Y</v>
      </c>
      <c r="N63" s="113">
        <f>IF('data input for RPA'!K64="","",'data input for RPA'!K64)</f>
        <v>1</v>
      </c>
      <c r="O63" s="113">
        <f>IF('data input for RPA'!L64="","",'data input for RPA'!L64)</f>
      </c>
      <c r="P63" s="113" t="str">
        <f t="shared" si="4"/>
        <v>Y</v>
      </c>
      <c r="Q63" s="10" t="str">
        <f t="shared" si="5"/>
        <v>No detected value of B, Step 7</v>
      </c>
      <c r="R63" s="113">
        <f>'data input for RPA'!O64</f>
      </c>
      <c r="S63" s="152" t="str">
        <f t="shared" si="7"/>
        <v>No</v>
      </c>
      <c r="T63" s="153" t="str">
        <f t="shared" si="6"/>
        <v>UD; effluent data and B are ND</v>
      </c>
    </row>
    <row r="64" spans="1:20" ht="12.75">
      <c r="A64" s="7">
        <v>60</v>
      </c>
      <c r="B64" s="8" t="s">
        <v>75</v>
      </c>
      <c r="C64" s="102">
        <f>Criteria!C69</f>
        <v>0.049</v>
      </c>
      <c r="D64" s="113" t="str">
        <f>IF('data input for RPA'!C65="","",'data input for RPA'!C65)</f>
        <v>Y</v>
      </c>
      <c r="E64" s="113" t="str">
        <f>IF('data input for RPA'!D65="","",'data input for RPA'!D65)</f>
        <v>Y</v>
      </c>
      <c r="F64" s="113">
        <f>IF('data input for RPA'!E65="","",'data input for RPA'!E65)</f>
        <v>1</v>
      </c>
      <c r="G64" s="113">
        <f>IF('data input for RPA'!F65="","",'data input for RPA'!F65)</f>
      </c>
      <c r="H64" s="10" t="str">
        <f t="shared" si="3"/>
        <v>All ND, MinDL&gt;C, Go to Step 5, &amp; IM</v>
      </c>
      <c r="I64" s="114">
        <f t="shared" si="8"/>
      </c>
      <c r="J64" s="10">
        <f t="shared" si="9"/>
      </c>
      <c r="K64" s="114"/>
      <c r="L64" s="113" t="str">
        <f>IF('data input for RPA'!I65="","",'data input for RPA'!I65)</f>
        <v>Y</v>
      </c>
      <c r="M64" s="113" t="str">
        <f>IF('data input for RPA'!J65="","",'data input for RPA'!J65)</f>
        <v>Y</v>
      </c>
      <c r="N64" s="113">
        <f>IF('data input for RPA'!K65="","",'data input for RPA'!K65)</f>
        <v>1</v>
      </c>
      <c r="O64" s="113">
        <f>IF('data input for RPA'!L65="","",'data input for RPA'!L65)</f>
      </c>
      <c r="P64" s="113" t="str">
        <f t="shared" si="4"/>
        <v>Y</v>
      </c>
      <c r="Q64" s="10" t="str">
        <f t="shared" si="5"/>
        <v>No detected value of B, Step 7</v>
      </c>
      <c r="R64" s="113">
        <f>'data input for RPA'!O65</f>
      </c>
      <c r="S64" s="152" t="str">
        <f t="shared" si="7"/>
        <v>No</v>
      </c>
      <c r="T64" s="153" t="str">
        <f t="shared" si="6"/>
        <v>UD; effluent data and B are ND</v>
      </c>
    </row>
    <row r="65" spans="1:20" ht="12.75">
      <c r="A65" s="7">
        <v>61</v>
      </c>
      <c r="B65" s="8" t="s">
        <v>76</v>
      </c>
      <c r="C65" s="102">
        <f>Criteria!C70</f>
        <v>0.049</v>
      </c>
      <c r="D65" s="113" t="str">
        <f>IF('data input for RPA'!C66="","",'data input for RPA'!C66)</f>
        <v>Y</v>
      </c>
      <c r="E65" s="113" t="str">
        <f>IF('data input for RPA'!D66="","",'data input for RPA'!D66)</f>
        <v>Y</v>
      </c>
      <c r="F65" s="113">
        <f>IF('data input for RPA'!E66="","",'data input for RPA'!E66)</f>
        <v>1</v>
      </c>
      <c r="G65" s="113">
        <f>IF('data input for RPA'!F66="","",'data input for RPA'!F66)</f>
      </c>
      <c r="H65" s="10" t="str">
        <f t="shared" si="3"/>
        <v>All ND, MinDL&gt;C, Go to Step 5, &amp; IM</v>
      </c>
      <c r="I65" s="114">
        <f t="shared" si="8"/>
      </c>
      <c r="J65" s="10">
        <f t="shared" si="9"/>
      </c>
      <c r="K65" s="114"/>
      <c r="L65" s="113" t="str">
        <f>IF('data input for RPA'!I66="","",'data input for RPA'!I66)</f>
        <v>Y</v>
      </c>
      <c r="M65" s="113" t="str">
        <f>IF('data input for RPA'!J66="","",'data input for RPA'!J66)</f>
        <v>Y</v>
      </c>
      <c r="N65" s="113">
        <f>IF('data input for RPA'!K66="","",'data input for RPA'!K66)</f>
        <v>1</v>
      </c>
      <c r="O65" s="113">
        <f>IF('data input for RPA'!L66="","",'data input for RPA'!L66)</f>
      </c>
      <c r="P65" s="113" t="str">
        <f t="shared" si="4"/>
        <v>Y</v>
      </c>
      <c r="Q65" s="10" t="str">
        <f t="shared" si="5"/>
        <v>No detected value of B, Step 7</v>
      </c>
      <c r="R65" s="113">
        <f>'data input for RPA'!O66</f>
      </c>
      <c r="S65" s="152" t="str">
        <f t="shared" si="7"/>
        <v>No</v>
      </c>
      <c r="T65" s="153" t="str">
        <f t="shared" si="6"/>
        <v>UD; effluent data and B are ND</v>
      </c>
    </row>
    <row r="66" spans="1:20" ht="12.75">
      <c r="A66" s="7">
        <v>62</v>
      </c>
      <c r="B66" s="8" t="s">
        <v>77</v>
      </c>
      <c r="C66" s="102">
        <f>Criteria!C71</f>
        <v>0.049</v>
      </c>
      <c r="D66" s="113" t="str">
        <f>IF('data input for RPA'!C67="","",'data input for RPA'!C67)</f>
        <v>Y</v>
      </c>
      <c r="E66" s="113" t="str">
        <f>IF('data input for RPA'!D67="","",'data input for RPA'!D67)</f>
        <v>Y</v>
      </c>
      <c r="F66" s="113">
        <f>IF('data input for RPA'!E67="","",'data input for RPA'!E67)</f>
        <v>1</v>
      </c>
      <c r="G66" s="113">
        <f>IF('data input for RPA'!F67="","",'data input for RPA'!F67)</f>
      </c>
      <c r="H66" s="10" t="str">
        <f t="shared" si="3"/>
        <v>All ND, MinDL&gt;C, Go to Step 5, &amp; IM</v>
      </c>
      <c r="I66" s="114">
        <f t="shared" si="8"/>
      </c>
      <c r="J66" s="10">
        <f t="shared" si="9"/>
      </c>
      <c r="K66" s="114"/>
      <c r="L66" s="113" t="str">
        <f>IF('data input for RPA'!I67="","",'data input for RPA'!I67)</f>
        <v>Y</v>
      </c>
      <c r="M66" s="113" t="str">
        <f>IF('data input for RPA'!J67="","",'data input for RPA'!J67)</f>
        <v>Y</v>
      </c>
      <c r="N66" s="113">
        <f>IF('data input for RPA'!K67="","",'data input for RPA'!K67)</f>
        <v>1</v>
      </c>
      <c r="O66" s="113">
        <f>IF('data input for RPA'!L67="","",'data input for RPA'!L67)</f>
      </c>
      <c r="P66" s="113" t="str">
        <f t="shared" si="4"/>
        <v>Y</v>
      </c>
      <c r="Q66" s="10" t="str">
        <f t="shared" si="5"/>
        <v>No detected value of B, Step 7</v>
      </c>
      <c r="R66" s="113">
        <f>'data input for RPA'!O67</f>
      </c>
      <c r="S66" s="152" t="str">
        <f t="shared" si="7"/>
        <v>No</v>
      </c>
      <c r="T66" s="153" t="str">
        <f t="shared" si="6"/>
        <v>UD; effluent data and B are ND</v>
      </c>
    </row>
    <row r="67" spans="1:20" ht="12.75">
      <c r="A67" s="7">
        <v>63</v>
      </c>
      <c r="B67" s="8" t="s">
        <v>78</v>
      </c>
      <c r="C67" s="99" t="str">
        <f>Criteria!C72</f>
        <v>No Criteria</v>
      </c>
      <c r="D67" s="113" t="str">
        <f>IF('data input for RPA'!C68="","",'data input for RPA'!C68)</f>
        <v>Y</v>
      </c>
      <c r="E67" s="113" t="str">
        <f>IF('data input for RPA'!D68="","",'data input for RPA'!D68)</f>
        <v>Y</v>
      </c>
      <c r="F67" s="113">
        <f>IF('data input for RPA'!E68="","",'data input for RPA'!E68)</f>
        <v>1</v>
      </c>
      <c r="G67" s="113">
        <f>IF('data input for RPA'!F68="","",'data input for RPA'!F68)</f>
      </c>
      <c r="H67" s="10" t="str">
        <f t="shared" si="3"/>
        <v>No Criteria</v>
      </c>
      <c r="I67" s="114" t="str">
        <f t="shared" si="8"/>
        <v>No Criteria</v>
      </c>
      <c r="J67" s="10" t="str">
        <f t="shared" si="9"/>
        <v>No Criteria</v>
      </c>
      <c r="K67" s="114"/>
      <c r="L67" s="113" t="str">
        <f>IF('data input for RPA'!I68="","",'data input for RPA'!I68)</f>
        <v>Y</v>
      </c>
      <c r="M67" s="113" t="str">
        <f>IF('data input for RPA'!J68="","",'data input for RPA'!J68)</f>
        <v>Y</v>
      </c>
      <c r="N67" s="113">
        <f>IF('data input for RPA'!K68="","",'data input for RPA'!K68)</f>
        <v>1</v>
      </c>
      <c r="O67" s="113">
        <f>IF('data input for RPA'!L68="","",'data input for RPA'!L68)</f>
      </c>
      <c r="P67" s="113" t="str">
        <f t="shared" si="4"/>
        <v>N</v>
      </c>
      <c r="Q67" s="10" t="str">
        <f t="shared" si="5"/>
        <v>No Criteria</v>
      </c>
      <c r="R67" s="113" t="str">
        <f>'data input for RPA'!O68</f>
        <v>No Criteria</v>
      </c>
      <c r="S67" s="152" t="str">
        <f t="shared" si="7"/>
        <v>Uo</v>
      </c>
      <c r="T67" s="153" t="str">
        <f t="shared" si="6"/>
        <v>No Criteria</v>
      </c>
    </row>
    <row r="68" spans="1:20" ht="12.75">
      <c r="A68" s="7">
        <v>64</v>
      </c>
      <c r="B68" s="8" t="s">
        <v>79</v>
      </c>
      <c r="C68" s="102">
        <f>Criteria!C73</f>
        <v>0.049</v>
      </c>
      <c r="D68" s="113" t="str">
        <f>IF('data input for RPA'!C69="","",'data input for RPA'!C69)</f>
        <v>Y</v>
      </c>
      <c r="E68" s="113" t="str">
        <f>IF('data input for RPA'!D69="","",'data input for RPA'!D69)</f>
        <v>Y</v>
      </c>
      <c r="F68" s="113">
        <f>IF('data input for RPA'!E69="","",'data input for RPA'!E69)</f>
        <v>2</v>
      </c>
      <c r="G68" s="113">
        <f>IF('data input for RPA'!F69="","",'data input for RPA'!F69)</f>
      </c>
      <c r="H68" s="10" t="str">
        <f t="shared" si="3"/>
        <v>All ND, MinDL&gt;C, Go to Step 5, &amp; IM</v>
      </c>
      <c r="I68" s="114">
        <f aca="true" t="shared" si="10" ref="I68:I99">IF(C68="No Criteria","No Criteria",IF(D68="N","",IF(E68="N",G68,IF(H68="All ND, MDL&lt;C, MEC=MDL",F68,""))))</f>
      </c>
      <c r="J68" s="10">
        <f aca="true" t="shared" si="11" ref="J68:J99">IF(C68="No Criteria","No Criteria",IF(I68="","",IF(I68&gt;=C68,"MEC&gt;=C, Effluent Limits Required","MEC&lt;C, go to Step 5")))</f>
      </c>
      <c r="K68" s="114"/>
      <c r="L68" s="113" t="str">
        <f>IF('data input for RPA'!I69="","",'data input for RPA'!I69)</f>
        <v>Y</v>
      </c>
      <c r="M68" s="113" t="str">
        <f>IF('data input for RPA'!J69="","",'data input for RPA'!J69)</f>
        <v>Y</v>
      </c>
      <c r="N68" s="113">
        <f>IF('data input for RPA'!K69="","",'data input for RPA'!K69)</f>
        <v>2</v>
      </c>
      <c r="O68" s="113">
        <f>IF('data input for RPA'!L69="","",'data input for RPA'!L69)</f>
      </c>
      <c r="P68" s="113" t="str">
        <f t="shared" si="4"/>
        <v>Y</v>
      </c>
      <c r="Q68" s="10" t="str">
        <f t="shared" si="5"/>
        <v>No detected value of B, Step 7</v>
      </c>
      <c r="R68" s="113">
        <f>'data input for RPA'!O69</f>
      </c>
      <c r="S68" s="152" t="str">
        <f t="shared" si="7"/>
        <v>No</v>
      </c>
      <c r="T68" s="153" t="str">
        <f t="shared" si="6"/>
        <v>UD; effluent data and B are ND</v>
      </c>
    </row>
    <row r="69" spans="1:20" ht="12.75">
      <c r="A69" s="7">
        <v>65</v>
      </c>
      <c r="B69" s="8" t="s">
        <v>80</v>
      </c>
      <c r="C69" s="99" t="str">
        <f>Criteria!C74</f>
        <v>No Criteria</v>
      </c>
      <c r="D69" s="113" t="str">
        <f>IF('data input for RPA'!C70="","",'data input for RPA'!C70)</f>
        <v>Y</v>
      </c>
      <c r="E69" s="113" t="str">
        <f>IF('data input for RPA'!D70="","",'data input for RPA'!D70)</f>
        <v>Y</v>
      </c>
      <c r="F69" s="113">
        <f>IF('data input for RPA'!E70="","",'data input for RPA'!E70)</f>
        <v>1</v>
      </c>
      <c r="G69" s="113">
        <f>IF('data input for RPA'!F70="","",'data input for RPA'!F70)</f>
      </c>
      <c r="H69" s="10" t="str">
        <f aca="true" t="shared" si="12" ref="H69:H124">IF(C69="No Criteria","No Criteria",IF(D69="N","No effluent data",IF(E69="N","",IF(F69&lt;C69,"All ND, MDL&lt;C, MEC=MDL","All ND, MinDL&gt;C, Go to Step 5, &amp; IM"))))</f>
        <v>No Criteria</v>
      </c>
      <c r="I69" s="114" t="str">
        <f t="shared" si="10"/>
        <v>No Criteria</v>
      </c>
      <c r="J69" s="10" t="str">
        <f t="shared" si="11"/>
        <v>No Criteria</v>
      </c>
      <c r="K69" s="114"/>
      <c r="L69" s="113" t="str">
        <f>IF('data input for RPA'!I70="","",'data input for RPA'!I70)</f>
        <v>Y</v>
      </c>
      <c r="M69" s="113" t="str">
        <f>IF('data input for RPA'!J70="","",'data input for RPA'!J70)</f>
        <v>Y</v>
      </c>
      <c r="N69" s="113">
        <f>IF('data input for RPA'!K70="","",'data input for RPA'!K70)</f>
        <v>1</v>
      </c>
      <c r="O69" s="113">
        <f>IF('data input for RPA'!L70="","",'data input for RPA'!L70)</f>
      </c>
      <c r="P69" s="113" t="str">
        <f aca="true" t="shared" si="13" ref="P69:P125">IF(N69="","",IF(N69&gt;C69,"Y","N"))</f>
        <v>N</v>
      </c>
      <c r="Q69" s="10" t="str">
        <f aca="true" t="shared" si="14" ref="Q69:Q125">IF(C69="No Criteria","No Criteria",IF(O69="","No detected value of B, Step 7",IF(O69&gt;C69,"B&gt;C, Effluent Limit Required","B&lt;C, Step 7")))</f>
        <v>No Criteria</v>
      </c>
      <c r="R69" s="113" t="str">
        <f>'data input for RPA'!O70</f>
        <v>No Criteria</v>
      </c>
      <c r="S69" s="152" t="str">
        <f t="shared" si="7"/>
        <v>Uo</v>
      </c>
      <c r="T69" s="153" t="str">
        <f aca="true" t="shared" si="15" ref="T69:T125">IF(C69="No Criteria","No Criteria",IF(D69="N",IF(L69="N","no effluent data &amp; no B",IF(M69="Y","Ud, no effluent data &amp; B is ND",IF(O69&gt;C69,"B&gt;C","no effluent data &amp; B&lt;C"))),IF(H69="All ND, MinDL&gt;C, Go to Step 5, &amp; IM",IF(L69="N","MDL&gt;C &amp; No B",IF(M69="Y","UD; effluent data and B are ND",IF(O69&gt;C69,"B&gt;C","UD; effluent data ND, MDL&gt;C &amp; B&lt;C"))),IF(I69="No Criteria","No Criteria",IF(I69&gt;C69,"MEC&gt;C",IF(M69="N",IF(O69&gt;C69,"B&gt;C","MEC&lt;C &amp; B&lt;C"),"Ud;MEC&lt;C &amp; B is ND"))))))</f>
        <v>No Criteria</v>
      </c>
    </row>
    <row r="70" spans="1:20" ht="12.75">
      <c r="A70" s="7">
        <v>66</v>
      </c>
      <c r="B70" s="8" t="s">
        <v>81</v>
      </c>
      <c r="C70" s="101">
        <f>Criteria!C75</f>
        <v>1.4</v>
      </c>
      <c r="D70" s="113" t="str">
        <f>IF('data input for RPA'!C71="","",'data input for RPA'!C71)</f>
        <v>Y</v>
      </c>
      <c r="E70" s="113" t="str">
        <f>IF('data input for RPA'!D71="","",'data input for RPA'!D71)</f>
        <v>Y</v>
      </c>
      <c r="F70" s="113">
        <f>IF('data input for RPA'!E71="","",'data input for RPA'!E71)</f>
        <v>0.5</v>
      </c>
      <c r="G70" s="113">
        <f>IF('data input for RPA'!F71="","",'data input for RPA'!F71)</f>
      </c>
      <c r="H70" s="10" t="str">
        <f t="shared" si="12"/>
        <v>All ND, MDL&lt;C, MEC=MDL</v>
      </c>
      <c r="I70" s="114">
        <f t="shared" si="10"/>
        <v>0.5</v>
      </c>
      <c r="J70" s="10" t="str">
        <f t="shared" si="11"/>
        <v>MEC&lt;C, go to Step 5</v>
      </c>
      <c r="K70" s="114"/>
      <c r="L70" s="113" t="str">
        <f>IF('data input for RPA'!I71="","",'data input for RPA'!I71)</f>
        <v>Y</v>
      </c>
      <c r="M70" s="113" t="str">
        <f>IF('data input for RPA'!J71="","",'data input for RPA'!J71)</f>
        <v>Y</v>
      </c>
      <c r="N70" s="113">
        <f>IF('data input for RPA'!K71="","",'data input for RPA'!K71)</f>
        <v>0.5</v>
      </c>
      <c r="O70" s="113">
        <f>IF('data input for RPA'!L71="","",'data input for RPA'!L71)</f>
      </c>
      <c r="P70" s="113" t="str">
        <f t="shared" si="13"/>
        <v>N</v>
      </c>
      <c r="Q70" s="10" t="str">
        <f t="shared" si="14"/>
        <v>No detected value of B, Step 7</v>
      </c>
      <c r="R70" s="113">
        <f>'data input for RPA'!O71</f>
      </c>
      <c r="S70" s="152" t="str">
        <f t="shared" si="7"/>
        <v>No</v>
      </c>
      <c r="T70" s="153" t="str">
        <f t="shared" si="15"/>
        <v>Ud;MEC&lt;C &amp; B is ND</v>
      </c>
    </row>
    <row r="71" spans="1:20" ht="12.75">
      <c r="A71" s="7">
        <v>67</v>
      </c>
      <c r="B71" s="8" t="s">
        <v>82</v>
      </c>
      <c r="C71" s="99">
        <f>Criteria!C76</f>
        <v>170000</v>
      </c>
      <c r="D71" s="113" t="str">
        <f>IF('data input for RPA'!C72="","",'data input for RPA'!C72)</f>
        <v>Y</v>
      </c>
      <c r="E71" s="113" t="str">
        <f>IF('data input for RPA'!D72="","",'data input for RPA'!D72)</f>
        <v>Y</v>
      </c>
      <c r="F71" s="113">
        <f>IF('data input for RPA'!E72="","",'data input for RPA'!E72)</f>
        <v>0.5</v>
      </c>
      <c r="G71" s="113">
        <f>IF('data input for RPA'!F72="","",'data input for RPA'!F72)</f>
      </c>
      <c r="H71" s="10" t="str">
        <f t="shared" si="12"/>
        <v>All ND, MDL&lt;C, MEC=MDL</v>
      </c>
      <c r="I71" s="114">
        <f t="shared" si="10"/>
        <v>0.5</v>
      </c>
      <c r="J71" s="10" t="str">
        <f t="shared" si="11"/>
        <v>MEC&lt;C, go to Step 5</v>
      </c>
      <c r="K71" s="114"/>
      <c r="L71" s="113" t="str">
        <f>IF('data input for RPA'!I72="","",'data input for RPA'!I72)</f>
        <v>Y</v>
      </c>
      <c r="M71" s="113" t="str">
        <f>IF('data input for RPA'!J72="","",'data input for RPA'!J72)</f>
        <v>Y</v>
      </c>
      <c r="N71" s="113">
        <f>IF('data input for RPA'!K72="","",'data input for RPA'!K72)</f>
        <v>0.5</v>
      </c>
      <c r="O71" s="113">
        <f>IF('data input for RPA'!L72="","",'data input for RPA'!L72)</f>
      </c>
      <c r="P71" s="113" t="str">
        <f t="shared" si="13"/>
        <v>N</v>
      </c>
      <c r="Q71" s="10" t="str">
        <f t="shared" si="14"/>
        <v>No detected value of B, Step 7</v>
      </c>
      <c r="R71" s="113">
        <f>'data input for RPA'!O72</f>
      </c>
      <c r="S71" s="152" t="str">
        <f t="shared" si="7"/>
        <v>No</v>
      </c>
      <c r="T71" s="153" t="str">
        <f t="shared" si="15"/>
        <v>Ud;MEC&lt;C &amp; B is ND</v>
      </c>
    </row>
    <row r="72" spans="1:20" ht="12.75">
      <c r="A72" s="7">
        <v>68</v>
      </c>
      <c r="B72" s="8" t="s">
        <v>83</v>
      </c>
      <c r="C72" s="101">
        <f>Criteria!C77</f>
        <v>5.9</v>
      </c>
      <c r="D72" s="113" t="str">
        <f>IF('data input for RPA'!C73="","",'data input for RPA'!C73)</f>
        <v>Y</v>
      </c>
      <c r="E72" s="113" t="str">
        <f>IF('data input for RPA'!D73="","",'data input for RPA'!D73)</f>
        <v>Y</v>
      </c>
      <c r="F72" s="113">
        <f>IF('data input for RPA'!E73="","",'data input for RPA'!E73)</f>
        <v>2</v>
      </c>
      <c r="G72" s="113">
        <f>IF('data input for RPA'!F73="","",'data input for RPA'!F73)</f>
      </c>
      <c r="H72" s="10" t="str">
        <f t="shared" si="12"/>
        <v>All ND, MDL&lt;C, MEC=MDL</v>
      </c>
      <c r="I72" s="114">
        <f t="shared" si="10"/>
        <v>2</v>
      </c>
      <c r="J72" s="10" t="str">
        <f t="shared" si="11"/>
        <v>MEC&lt;C, go to Step 5</v>
      </c>
      <c r="K72" s="114"/>
      <c r="L72" s="113" t="str">
        <f>IF('data input for RPA'!I73="","",'data input for RPA'!I73)</f>
        <v>Y</v>
      </c>
      <c r="M72" s="113" t="str">
        <f>IF('data input for RPA'!J73="","",'data input for RPA'!J73)</f>
        <v>N</v>
      </c>
      <c r="N72" s="113">
        <f>IF('data input for RPA'!K73="","",'data input for RPA'!K73)</f>
      </c>
      <c r="O72" s="113">
        <f>IF('data input for RPA'!L73="","",'data input for RPA'!L73)</f>
        <v>7</v>
      </c>
      <c r="P72" s="113">
        <f t="shared" si="13"/>
      </c>
      <c r="Q72" s="10" t="str">
        <f t="shared" si="14"/>
        <v>B&gt;C, Effluent Limit Required</v>
      </c>
      <c r="R72" s="113">
        <f>'data input for RPA'!O73</f>
      </c>
      <c r="S72" s="335" t="str">
        <f t="shared" si="7"/>
        <v>Yes</v>
      </c>
      <c r="T72" s="153" t="str">
        <f t="shared" si="15"/>
        <v>B&gt;C</v>
      </c>
    </row>
    <row r="73" spans="1:20" ht="12.75">
      <c r="A73" s="7">
        <v>69</v>
      </c>
      <c r="B73" s="8" t="s">
        <v>84</v>
      </c>
      <c r="C73" s="99" t="str">
        <f>Criteria!C78</f>
        <v>No Criteria</v>
      </c>
      <c r="D73" s="113" t="str">
        <f>IF('data input for RPA'!C74="","",'data input for RPA'!C74)</f>
        <v>Y</v>
      </c>
      <c r="E73" s="113" t="str">
        <f>IF('data input for RPA'!D74="","",'data input for RPA'!D74)</f>
        <v>Y</v>
      </c>
      <c r="F73" s="113">
        <f>IF('data input for RPA'!E74="","",'data input for RPA'!E74)</f>
        <v>1</v>
      </c>
      <c r="G73" s="113">
        <f>IF('data input for RPA'!F74="","",'data input for RPA'!F74)</f>
      </c>
      <c r="H73" s="10" t="str">
        <f t="shared" si="12"/>
        <v>No Criteria</v>
      </c>
      <c r="I73" s="114" t="str">
        <f t="shared" si="10"/>
        <v>No Criteria</v>
      </c>
      <c r="J73" s="10" t="str">
        <f t="shared" si="11"/>
        <v>No Criteria</v>
      </c>
      <c r="K73" s="114"/>
      <c r="L73" s="113" t="str">
        <f>IF('data input for RPA'!I74="","",'data input for RPA'!I74)</f>
        <v>Y</v>
      </c>
      <c r="M73" s="113" t="str">
        <f>IF('data input for RPA'!J74="","",'data input for RPA'!J74)</f>
        <v>Y</v>
      </c>
      <c r="N73" s="113">
        <f>IF('data input for RPA'!K74="","",'data input for RPA'!K74)</f>
        <v>1</v>
      </c>
      <c r="O73" s="113">
        <f>IF('data input for RPA'!L74="","",'data input for RPA'!L74)</f>
      </c>
      <c r="P73" s="113" t="str">
        <f t="shared" si="13"/>
        <v>N</v>
      </c>
      <c r="Q73" s="10" t="str">
        <f t="shared" si="14"/>
        <v>No Criteria</v>
      </c>
      <c r="R73" s="113" t="str">
        <f>'data input for RPA'!O74</f>
        <v>No Criteria</v>
      </c>
      <c r="S73" s="152" t="str">
        <f t="shared" si="7"/>
        <v>Uo</v>
      </c>
      <c r="T73" s="153" t="str">
        <f t="shared" si="15"/>
        <v>No Criteria</v>
      </c>
    </row>
    <row r="74" spans="1:20" ht="12.75">
      <c r="A74" s="7">
        <v>70</v>
      </c>
      <c r="B74" s="8" t="s">
        <v>85</v>
      </c>
      <c r="C74" s="99">
        <f>Criteria!C79</f>
        <v>5200</v>
      </c>
      <c r="D74" s="113" t="str">
        <f>IF('data input for RPA'!C75="","",'data input for RPA'!C75)</f>
        <v>Y</v>
      </c>
      <c r="E74" s="113" t="str">
        <f>IF('data input for RPA'!D75="","",'data input for RPA'!D75)</f>
        <v>Y</v>
      </c>
      <c r="F74" s="113">
        <f>IF('data input for RPA'!E75="","",'data input for RPA'!E75)</f>
        <v>1</v>
      </c>
      <c r="G74" s="113">
        <f>IF('data input for RPA'!F75="","",'data input for RPA'!F75)</f>
      </c>
      <c r="H74" s="10" t="str">
        <f t="shared" si="12"/>
        <v>All ND, MDL&lt;C, MEC=MDL</v>
      </c>
      <c r="I74" s="114">
        <f t="shared" si="10"/>
        <v>1</v>
      </c>
      <c r="J74" s="10" t="str">
        <f t="shared" si="11"/>
        <v>MEC&lt;C, go to Step 5</v>
      </c>
      <c r="K74" s="114"/>
      <c r="L74" s="113" t="str">
        <f>IF('data input for RPA'!I75="","",'data input for RPA'!I75)</f>
        <v>Y</v>
      </c>
      <c r="M74" s="113" t="str">
        <f>IF('data input for RPA'!J75="","",'data input for RPA'!J75)</f>
        <v>Y</v>
      </c>
      <c r="N74" s="113">
        <f>IF('data input for RPA'!K75="","",'data input for RPA'!K75)</f>
        <v>5</v>
      </c>
      <c r="O74" s="113">
        <f>IF('data input for RPA'!L75="","",'data input for RPA'!L75)</f>
      </c>
      <c r="P74" s="113" t="str">
        <f t="shared" si="13"/>
        <v>N</v>
      </c>
      <c r="Q74" s="10" t="str">
        <f t="shared" si="14"/>
        <v>No detected value of B, Step 7</v>
      </c>
      <c r="R74" s="113">
        <f>'data input for RPA'!O75</f>
      </c>
      <c r="S74" s="152" t="str">
        <f t="shared" si="7"/>
        <v>No</v>
      </c>
      <c r="T74" s="153" t="str">
        <f t="shared" si="15"/>
        <v>Ud;MEC&lt;C &amp; B is ND</v>
      </c>
    </row>
    <row r="75" spans="1:20" ht="12.75">
      <c r="A75" s="7">
        <v>71</v>
      </c>
      <c r="B75" s="8" t="s">
        <v>86</v>
      </c>
      <c r="C75" s="99">
        <f>Criteria!C80</f>
        <v>4300</v>
      </c>
      <c r="D75" s="113" t="str">
        <f>IF('data input for RPA'!C76="","",'data input for RPA'!C76)</f>
        <v>N</v>
      </c>
      <c r="E75" s="113">
        <f>IF('data input for RPA'!D76="","",'data input for RPA'!D76)</f>
      </c>
      <c r="F75" s="113">
        <f>IF('data input for RPA'!E76="","",'data input for RPA'!E76)</f>
      </c>
      <c r="G75" s="113">
        <f>IF('data input for RPA'!F76="","",'data input for RPA'!F76)</f>
      </c>
      <c r="H75" s="10" t="str">
        <f t="shared" si="12"/>
        <v>No effluent data</v>
      </c>
      <c r="I75" s="114">
        <f t="shared" si="10"/>
      </c>
      <c r="J75" s="10">
        <f t="shared" si="11"/>
      </c>
      <c r="K75" s="114"/>
      <c r="L75" s="113" t="str">
        <f>IF('data input for RPA'!I76="","",'data input for RPA'!I76)</f>
        <v>Y</v>
      </c>
      <c r="M75" s="113" t="str">
        <f>IF('data input for RPA'!J76="","",'data input for RPA'!J76)</f>
        <v>Y</v>
      </c>
      <c r="N75" s="113">
        <f>IF('data input for RPA'!K76="","",'data input for RPA'!K76)</f>
        <v>1</v>
      </c>
      <c r="O75" s="113">
        <f>IF('data input for RPA'!L76="","",'data input for RPA'!L76)</f>
      </c>
      <c r="P75" s="113" t="str">
        <f t="shared" si="13"/>
        <v>N</v>
      </c>
      <c r="Q75" s="10" t="str">
        <f t="shared" si="14"/>
        <v>No detected value of B, Step 7</v>
      </c>
      <c r="R75" s="113">
        <f>'data input for RPA'!O76</f>
      </c>
      <c r="S75" s="152" t="str">
        <f t="shared" si="7"/>
        <v>No</v>
      </c>
      <c r="T75" s="153" t="str">
        <f t="shared" si="15"/>
        <v>Ud, no effluent data &amp; B is ND</v>
      </c>
    </row>
    <row r="76" spans="1:20" ht="12.75">
      <c r="A76" s="7">
        <v>72</v>
      </c>
      <c r="B76" s="8" t="s">
        <v>87</v>
      </c>
      <c r="C76" s="99" t="str">
        <f>Criteria!C81</f>
        <v>No Criteria</v>
      </c>
      <c r="D76" s="113" t="str">
        <f>IF('data input for RPA'!C77="","",'data input for RPA'!C77)</f>
        <v>Y</v>
      </c>
      <c r="E76" s="113" t="str">
        <f>IF('data input for RPA'!D77="","",'data input for RPA'!D77)</f>
        <v>Y</v>
      </c>
      <c r="F76" s="113">
        <f>IF('data input for RPA'!E77="","",'data input for RPA'!E77)</f>
        <v>1</v>
      </c>
      <c r="G76" s="113">
        <f>IF('data input for RPA'!F77="","",'data input for RPA'!F77)</f>
      </c>
      <c r="H76" s="10" t="str">
        <f t="shared" si="12"/>
        <v>No Criteria</v>
      </c>
      <c r="I76" s="114" t="str">
        <f t="shared" si="10"/>
        <v>No Criteria</v>
      </c>
      <c r="J76" s="10" t="str">
        <f t="shared" si="11"/>
        <v>No Criteria</v>
      </c>
      <c r="K76" s="114"/>
      <c r="L76" s="113" t="str">
        <f>IF('data input for RPA'!I77="","",'data input for RPA'!I77)</f>
        <v>Y</v>
      </c>
      <c r="M76" s="113" t="str">
        <f>IF('data input for RPA'!J77="","",'data input for RPA'!J77)</f>
        <v>Y</v>
      </c>
      <c r="N76" s="113">
        <f>IF('data input for RPA'!K77="","",'data input for RPA'!K77)</f>
        <v>1</v>
      </c>
      <c r="O76" s="113">
        <f>IF('data input for RPA'!L77="","",'data input for RPA'!L77)</f>
      </c>
      <c r="P76" s="113" t="str">
        <f t="shared" si="13"/>
        <v>N</v>
      </c>
      <c r="Q76" s="10" t="str">
        <f t="shared" si="14"/>
        <v>No Criteria</v>
      </c>
      <c r="R76" s="113" t="str">
        <f>'data input for RPA'!O77</f>
        <v>No Criteria</v>
      </c>
      <c r="S76" s="152" t="str">
        <f t="shared" si="7"/>
        <v>Uo</v>
      </c>
      <c r="T76" s="153" t="str">
        <f t="shared" si="15"/>
        <v>No Criteria</v>
      </c>
    </row>
    <row r="77" spans="1:20" ht="12.75">
      <c r="A77" s="7">
        <v>73</v>
      </c>
      <c r="B77" s="8" t="s">
        <v>88</v>
      </c>
      <c r="C77" s="102">
        <f>Criteria!C82</f>
        <v>0.049</v>
      </c>
      <c r="D77" s="113" t="str">
        <f>IF('data input for RPA'!C78="","",'data input for RPA'!C78)</f>
        <v>Y</v>
      </c>
      <c r="E77" s="113" t="str">
        <f>IF('data input for RPA'!D78="","",'data input for RPA'!D78)</f>
        <v>Y</v>
      </c>
      <c r="F77" s="113">
        <f>IF('data input for RPA'!E78="","",'data input for RPA'!E78)</f>
        <v>1</v>
      </c>
      <c r="G77" s="113">
        <f>IF('data input for RPA'!F78="","",'data input for RPA'!F78)</f>
      </c>
      <c r="H77" s="10" t="str">
        <f t="shared" si="12"/>
        <v>All ND, MinDL&gt;C, Go to Step 5, &amp; IM</v>
      </c>
      <c r="I77" s="114">
        <f t="shared" si="10"/>
      </c>
      <c r="J77" s="10">
        <f t="shared" si="11"/>
      </c>
      <c r="K77" s="114"/>
      <c r="L77" s="113" t="str">
        <f>IF('data input for RPA'!I78="","",'data input for RPA'!I78)</f>
        <v>Y</v>
      </c>
      <c r="M77" s="113" t="str">
        <f>IF('data input for RPA'!J78="","",'data input for RPA'!J78)</f>
        <v>Y</v>
      </c>
      <c r="N77" s="113">
        <f>IF('data input for RPA'!K78="","",'data input for RPA'!K78)</f>
        <v>1</v>
      </c>
      <c r="O77" s="113">
        <f>IF('data input for RPA'!L78="","",'data input for RPA'!L78)</f>
      </c>
      <c r="P77" s="113" t="str">
        <f t="shared" si="13"/>
        <v>Y</v>
      </c>
      <c r="Q77" s="10" t="str">
        <f t="shared" si="14"/>
        <v>No detected value of B, Step 7</v>
      </c>
      <c r="R77" s="113">
        <f>'data input for RPA'!O78</f>
      </c>
      <c r="S77" s="152" t="str">
        <f t="shared" si="7"/>
        <v>No</v>
      </c>
      <c r="T77" s="153" t="str">
        <f t="shared" si="15"/>
        <v>UD; effluent data and B are ND</v>
      </c>
    </row>
    <row r="78" spans="1:20" ht="12.75">
      <c r="A78" s="7">
        <v>74</v>
      </c>
      <c r="B78" s="8" t="s">
        <v>89</v>
      </c>
      <c r="C78" s="102">
        <f>Criteria!C83</f>
        <v>0.049</v>
      </c>
      <c r="D78" s="113" t="str">
        <f>IF('data input for RPA'!C79="","",'data input for RPA'!C79)</f>
        <v>Y</v>
      </c>
      <c r="E78" s="113" t="str">
        <f>IF('data input for RPA'!D79="","",'data input for RPA'!D79)</f>
        <v>Y</v>
      </c>
      <c r="F78" s="113">
        <f>IF('data input for RPA'!E79="","",'data input for RPA'!E79)</f>
        <v>1</v>
      </c>
      <c r="G78" s="113">
        <f>IF('data input for RPA'!F79="","",'data input for RPA'!F79)</f>
      </c>
      <c r="H78" s="10" t="str">
        <f t="shared" si="12"/>
        <v>All ND, MinDL&gt;C, Go to Step 5, &amp; IM</v>
      </c>
      <c r="I78" s="114">
        <f t="shared" si="10"/>
      </c>
      <c r="J78" s="10">
        <f t="shared" si="11"/>
      </c>
      <c r="K78" s="114"/>
      <c r="L78" s="113" t="str">
        <f>IF('data input for RPA'!I79="","",'data input for RPA'!I79)</f>
        <v>Y</v>
      </c>
      <c r="M78" s="113" t="str">
        <f>IF('data input for RPA'!J79="","",'data input for RPA'!J79)</f>
        <v>Y</v>
      </c>
      <c r="N78" s="113">
        <f>IF('data input for RPA'!K79="","",'data input for RPA'!K79)</f>
        <v>1</v>
      </c>
      <c r="O78" s="113">
        <f>IF('data input for RPA'!L79="","",'data input for RPA'!L79)</f>
      </c>
      <c r="P78" s="113" t="str">
        <f t="shared" si="13"/>
        <v>Y</v>
      </c>
      <c r="Q78" s="10" t="str">
        <f t="shared" si="14"/>
        <v>No detected value of B, Step 7</v>
      </c>
      <c r="R78" s="113">
        <f>'data input for RPA'!O79</f>
      </c>
      <c r="S78" s="152" t="str">
        <f t="shared" si="7"/>
        <v>No</v>
      </c>
      <c r="T78" s="153" t="str">
        <f t="shared" si="15"/>
        <v>UD; effluent data and B are ND</v>
      </c>
    </row>
    <row r="79" spans="1:20" ht="12.75">
      <c r="A79" s="7">
        <v>75</v>
      </c>
      <c r="B79" s="8" t="s">
        <v>90</v>
      </c>
      <c r="C79" s="99">
        <f>Criteria!C84</f>
        <v>17000</v>
      </c>
      <c r="D79" s="113" t="str">
        <f>IF('data input for RPA'!C80="","",'data input for RPA'!C80)</f>
        <v>Y</v>
      </c>
      <c r="E79" s="113" t="str">
        <f>IF('data input for RPA'!D80="","",'data input for RPA'!D80)</f>
        <v>Y</v>
      </c>
      <c r="F79" s="113">
        <f>IF('data input for RPA'!E80="","",'data input for RPA'!E80)</f>
        <v>0.5</v>
      </c>
      <c r="G79" s="113">
        <f>IF('data input for RPA'!F80="","",'data input for RPA'!F80)</f>
      </c>
      <c r="H79" s="10" t="str">
        <f t="shared" si="12"/>
        <v>All ND, MDL&lt;C, MEC=MDL</v>
      </c>
      <c r="I79" s="114">
        <f t="shared" si="10"/>
        <v>0.5</v>
      </c>
      <c r="J79" s="10" t="str">
        <f t="shared" si="11"/>
        <v>MEC&lt;C, go to Step 5</v>
      </c>
      <c r="K79" s="114"/>
      <c r="L79" s="113" t="str">
        <f>IF('data input for RPA'!I80="","",'data input for RPA'!I80)</f>
        <v>Y</v>
      </c>
      <c r="M79" s="113" t="str">
        <f>IF('data input for RPA'!J80="","",'data input for RPA'!J80)</f>
        <v>Y</v>
      </c>
      <c r="N79" s="113">
        <f>IF('data input for RPA'!K80="","",'data input for RPA'!K80)</f>
        <v>0.5</v>
      </c>
      <c r="O79" s="113">
        <f>IF('data input for RPA'!L80="","",'data input for RPA'!L80)</f>
      </c>
      <c r="P79" s="113" t="str">
        <f t="shared" si="13"/>
        <v>N</v>
      </c>
      <c r="Q79" s="10" t="str">
        <f t="shared" si="14"/>
        <v>No detected value of B, Step 7</v>
      </c>
      <c r="R79" s="113">
        <f>'data input for RPA'!O80</f>
      </c>
      <c r="S79" s="152" t="str">
        <f t="shared" si="7"/>
        <v>No</v>
      </c>
      <c r="T79" s="153" t="str">
        <f t="shared" si="15"/>
        <v>Ud;MEC&lt;C &amp; B is ND</v>
      </c>
    </row>
    <row r="80" spans="1:20" ht="12.75">
      <c r="A80" s="7">
        <v>76</v>
      </c>
      <c r="B80" s="8" t="s">
        <v>91</v>
      </c>
      <c r="C80" s="99">
        <f>Criteria!C85</f>
        <v>2600</v>
      </c>
      <c r="D80" s="113" t="str">
        <f>IF('data input for RPA'!C81="","",'data input for RPA'!C81)</f>
        <v>Y</v>
      </c>
      <c r="E80" s="113" t="str">
        <f>IF('data input for RPA'!D81="","",'data input for RPA'!D81)</f>
        <v>Y</v>
      </c>
      <c r="F80" s="113">
        <f>IF('data input for RPA'!E81="","",'data input for RPA'!E81)</f>
        <v>0.5</v>
      </c>
      <c r="G80" s="113">
        <f>IF('data input for RPA'!F81="","",'data input for RPA'!F81)</f>
      </c>
      <c r="H80" s="10" t="str">
        <f t="shared" si="12"/>
        <v>All ND, MDL&lt;C, MEC=MDL</v>
      </c>
      <c r="I80" s="114">
        <f t="shared" si="10"/>
        <v>0.5</v>
      </c>
      <c r="J80" s="10" t="str">
        <f t="shared" si="11"/>
        <v>MEC&lt;C, go to Step 5</v>
      </c>
      <c r="K80" s="114"/>
      <c r="L80" s="113" t="str">
        <f>IF('data input for RPA'!I81="","",'data input for RPA'!I81)</f>
        <v>Y</v>
      </c>
      <c r="M80" s="113" t="str">
        <f>IF('data input for RPA'!J81="","",'data input for RPA'!J81)</f>
        <v>Y</v>
      </c>
      <c r="N80" s="113">
        <f>IF('data input for RPA'!K81="","",'data input for RPA'!K81)</f>
        <v>0.5</v>
      </c>
      <c r="O80" s="113">
        <f>IF('data input for RPA'!L81="","",'data input for RPA'!L81)</f>
      </c>
      <c r="P80" s="113" t="str">
        <f t="shared" si="13"/>
        <v>N</v>
      </c>
      <c r="Q80" s="10" t="str">
        <f t="shared" si="14"/>
        <v>No detected value of B, Step 7</v>
      </c>
      <c r="R80" s="113">
        <f>'data input for RPA'!O81</f>
      </c>
      <c r="S80" s="152" t="str">
        <f t="shared" si="7"/>
        <v>No</v>
      </c>
      <c r="T80" s="153" t="str">
        <f t="shared" si="15"/>
        <v>Ud;MEC&lt;C &amp; B is ND</v>
      </c>
    </row>
    <row r="81" spans="1:20" ht="12.75">
      <c r="A81" s="7">
        <v>77</v>
      </c>
      <c r="B81" s="8" t="s">
        <v>92</v>
      </c>
      <c r="C81" s="99">
        <f>Criteria!C86</f>
        <v>2600</v>
      </c>
      <c r="D81" s="113" t="str">
        <f>IF('data input for RPA'!C82="","",'data input for RPA'!C82)</f>
        <v>Y</v>
      </c>
      <c r="E81" s="113" t="str">
        <f>IF('data input for RPA'!D82="","",'data input for RPA'!D82)</f>
        <v>Y</v>
      </c>
      <c r="F81" s="113">
        <f>IF('data input for RPA'!E82="","",'data input for RPA'!E82)</f>
        <v>0.5</v>
      </c>
      <c r="G81" s="113">
        <f>IF('data input for RPA'!F82="","",'data input for RPA'!F82)</f>
      </c>
      <c r="H81" s="10" t="str">
        <f t="shared" si="12"/>
        <v>All ND, MDL&lt;C, MEC=MDL</v>
      </c>
      <c r="I81" s="114">
        <f t="shared" si="10"/>
        <v>0.5</v>
      </c>
      <c r="J81" s="10" t="str">
        <f t="shared" si="11"/>
        <v>MEC&lt;C, go to Step 5</v>
      </c>
      <c r="K81" s="114"/>
      <c r="L81" s="113" t="str">
        <f>IF('data input for RPA'!I82="","",'data input for RPA'!I82)</f>
        <v>Y</v>
      </c>
      <c r="M81" s="113" t="str">
        <f>IF('data input for RPA'!J82="","",'data input for RPA'!J82)</f>
        <v>Y</v>
      </c>
      <c r="N81" s="113">
        <f>IF('data input for RPA'!K82="","",'data input for RPA'!K82)</f>
        <v>0.5</v>
      </c>
      <c r="O81" s="113">
        <f>IF('data input for RPA'!L82="","",'data input for RPA'!L82)</f>
      </c>
      <c r="P81" s="113" t="str">
        <f t="shared" si="13"/>
        <v>N</v>
      </c>
      <c r="Q81" s="10" t="str">
        <f t="shared" si="14"/>
        <v>No detected value of B, Step 7</v>
      </c>
      <c r="R81" s="113">
        <f>'data input for RPA'!O82</f>
      </c>
      <c r="S81" s="152" t="str">
        <f t="shared" si="7"/>
        <v>No</v>
      </c>
      <c r="T81" s="153" t="str">
        <f t="shared" si="15"/>
        <v>Ud;MEC&lt;C &amp; B is ND</v>
      </c>
    </row>
    <row r="82" spans="1:20" ht="12.75">
      <c r="A82" s="7">
        <v>78</v>
      </c>
      <c r="B82" s="8" t="s">
        <v>93</v>
      </c>
      <c r="C82" s="102">
        <f>Criteria!C87</f>
        <v>0.077</v>
      </c>
      <c r="D82" s="113" t="str">
        <f>IF('data input for RPA'!C83="","",'data input for RPA'!C83)</f>
        <v>Y</v>
      </c>
      <c r="E82" s="113" t="str">
        <f>IF('data input for RPA'!D83="","",'data input for RPA'!D83)</f>
        <v>Y</v>
      </c>
      <c r="F82" s="113">
        <f>IF('data input for RPA'!E83="","",'data input for RPA'!E83)</f>
        <v>1</v>
      </c>
      <c r="G82" s="113">
        <f>IF('data input for RPA'!F83="","",'data input for RPA'!F83)</f>
      </c>
      <c r="H82" s="10" t="str">
        <f t="shared" si="12"/>
        <v>All ND, MinDL&gt;C, Go to Step 5, &amp; IM</v>
      </c>
      <c r="I82" s="114">
        <f t="shared" si="10"/>
      </c>
      <c r="J82" s="10">
        <f t="shared" si="11"/>
      </c>
      <c r="K82" s="114"/>
      <c r="L82" s="113" t="str">
        <f>IF('data input for RPA'!I83="","",'data input for RPA'!I83)</f>
        <v>Y</v>
      </c>
      <c r="M82" s="113" t="str">
        <f>IF('data input for RPA'!J83="","",'data input for RPA'!J83)</f>
        <v>Y</v>
      </c>
      <c r="N82" s="113">
        <f>IF('data input for RPA'!K83="","",'data input for RPA'!K83)</f>
        <v>1</v>
      </c>
      <c r="O82" s="113">
        <f>IF('data input for RPA'!L83="","",'data input for RPA'!L83)</f>
      </c>
      <c r="P82" s="113" t="str">
        <f t="shared" si="13"/>
        <v>Y</v>
      </c>
      <c r="Q82" s="10" t="str">
        <f t="shared" si="14"/>
        <v>No detected value of B, Step 7</v>
      </c>
      <c r="R82" s="113">
        <f>'data input for RPA'!O83</f>
      </c>
      <c r="S82" s="152" t="str">
        <f t="shared" si="7"/>
        <v>No</v>
      </c>
      <c r="T82" s="153" t="str">
        <f t="shared" si="15"/>
        <v>UD; effluent data and B are ND</v>
      </c>
    </row>
    <row r="83" spans="1:20" ht="12.75">
      <c r="A83" s="7">
        <v>79</v>
      </c>
      <c r="B83" s="8" t="s">
        <v>94</v>
      </c>
      <c r="C83" s="99">
        <f>Criteria!C88</f>
        <v>120000</v>
      </c>
      <c r="D83" s="113" t="str">
        <f>IF('data input for RPA'!C84="","",'data input for RPA'!C84)</f>
        <v>Y</v>
      </c>
      <c r="E83" s="113" t="str">
        <f>IF('data input for RPA'!D84="","",'data input for RPA'!D84)</f>
        <v>Y</v>
      </c>
      <c r="F83" s="113">
        <f>IF('data input for RPA'!E84="","",'data input for RPA'!E84)</f>
        <v>1</v>
      </c>
      <c r="G83" s="113">
        <f>IF('data input for RPA'!F84="","",'data input for RPA'!F84)</f>
      </c>
      <c r="H83" s="10" t="str">
        <f t="shared" si="12"/>
        <v>All ND, MDL&lt;C, MEC=MDL</v>
      </c>
      <c r="I83" s="114">
        <f t="shared" si="10"/>
        <v>1</v>
      </c>
      <c r="J83" s="10" t="str">
        <f t="shared" si="11"/>
        <v>MEC&lt;C, go to Step 5</v>
      </c>
      <c r="K83" s="114"/>
      <c r="L83" s="113" t="str">
        <f>IF('data input for RPA'!I84="","",'data input for RPA'!I84)</f>
        <v>Y</v>
      </c>
      <c r="M83" s="113" t="str">
        <f>IF('data input for RPA'!J84="","",'data input for RPA'!J84)</f>
        <v>N</v>
      </c>
      <c r="N83" s="113">
        <f>IF('data input for RPA'!K84="","",'data input for RPA'!K84)</f>
      </c>
      <c r="O83" s="113">
        <f>IF('data input for RPA'!L84="","",'data input for RPA'!L84)</f>
        <v>1</v>
      </c>
      <c r="P83" s="113">
        <f t="shared" si="13"/>
      </c>
      <c r="Q83" s="10" t="str">
        <f t="shared" si="14"/>
        <v>B&lt;C, Step 7</v>
      </c>
      <c r="R83" s="113">
        <f>'data input for RPA'!O84</f>
      </c>
      <c r="S83" s="152" t="str">
        <f t="shared" si="7"/>
        <v>No</v>
      </c>
      <c r="T83" s="153" t="str">
        <f t="shared" si="15"/>
        <v>MEC&lt;C &amp; B&lt;C</v>
      </c>
    </row>
    <row r="84" spans="1:20" ht="12.75">
      <c r="A84" s="7">
        <v>80</v>
      </c>
      <c r="B84" s="8" t="s">
        <v>95</v>
      </c>
      <c r="C84" s="99">
        <f>Criteria!C89</f>
        <v>2900000</v>
      </c>
      <c r="D84" s="113" t="str">
        <f>IF('data input for RPA'!C85="","",'data input for RPA'!C85)</f>
        <v>Y</v>
      </c>
      <c r="E84" s="113" t="str">
        <f>IF('data input for RPA'!D85="","",'data input for RPA'!D85)</f>
        <v>Y</v>
      </c>
      <c r="F84" s="113">
        <f>IF('data input for RPA'!E85="","",'data input for RPA'!E85)</f>
        <v>1</v>
      </c>
      <c r="G84" s="113">
        <f>IF('data input for RPA'!F85="","",'data input for RPA'!F85)</f>
      </c>
      <c r="H84" s="10" t="str">
        <f t="shared" si="12"/>
        <v>All ND, MDL&lt;C, MEC=MDL</v>
      </c>
      <c r="I84" s="114">
        <f t="shared" si="10"/>
        <v>1</v>
      </c>
      <c r="J84" s="10" t="str">
        <f t="shared" si="11"/>
        <v>MEC&lt;C, go to Step 5</v>
      </c>
      <c r="K84" s="114"/>
      <c r="L84" s="113" t="str">
        <f>IF('data input for RPA'!I85="","",'data input for RPA'!I85)</f>
        <v>Y</v>
      </c>
      <c r="M84" s="113" t="str">
        <f>IF('data input for RPA'!J85="","",'data input for RPA'!J85)</f>
        <v>Y</v>
      </c>
      <c r="N84" s="113">
        <f>IF('data input for RPA'!K85="","",'data input for RPA'!K85)</f>
        <v>1</v>
      </c>
      <c r="O84" s="113">
        <f>IF('data input for RPA'!L85="","",'data input for RPA'!L85)</f>
      </c>
      <c r="P84" s="113" t="str">
        <f t="shared" si="13"/>
        <v>N</v>
      </c>
      <c r="Q84" s="10" t="str">
        <f t="shared" si="14"/>
        <v>No detected value of B, Step 7</v>
      </c>
      <c r="R84" s="113">
        <f>'data input for RPA'!O85</f>
      </c>
      <c r="S84" s="152" t="str">
        <f t="shared" si="7"/>
        <v>No</v>
      </c>
      <c r="T84" s="153" t="str">
        <f t="shared" si="15"/>
        <v>Ud;MEC&lt;C &amp; B is ND</v>
      </c>
    </row>
    <row r="85" spans="1:20" ht="12.75">
      <c r="A85" s="7">
        <v>81</v>
      </c>
      <c r="B85" s="8" t="s">
        <v>96</v>
      </c>
      <c r="C85" s="99">
        <f>Criteria!C90</f>
        <v>12000</v>
      </c>
      <c r="D85" s="113" t="str">
        <f>IF('data input for RPA'!C86="","",'data input for RPA'!C86)</f>
        <v>Y</v>
      </c>
      <c r="E85" s="113" t="str">
        <f>IF('data input for RPA'!D86="","",'data input for RPA'!D86)</f>
        <v>Y</v>
      </c>
      <c r="F85" s="113">
        <f>IF('data input for RPA'!E86="","",'data input for RPA'!E86)</f>
        <v>1</v>
      </c>
      <c r="G85" s="113">
        <f>IF('data input for RPA'!F86="","",'data input for RPA'!F86)</f>
      </c>
      <c r="H85" s="10" t="str">
        <f t="shared" si="12"/>
        <v>All ND, MDL&lt;C, MEC=MDL</v>
      </c>
      <c r="I85" s="114">
        <f t="shared" si="10"/>
        <v>1</v>
      </c>
      <c r="J85" s="10" t="str">
        <f t="shared" si="11"/>
        <v>MEC&lt;C, go to Step 5</v>
      </c>
      <c r="K85" s="114"/>
      <c r="L85" s="113" t="str">
        <f>IF('data input for RPA'!I86="","",'data input for RPA'!I86)</f>
        <v>Y</v>
      </c>
      <c r="M85" s="113" t="str">
        <f>IF('data input for RPA'!J86="","",'data input for RPA'!J86)</f>
        <v>Y</v>
      </c>
      <c r="N85" s="113">
        <f>IF('data input for RPA'!K86="","",'data input for RPA'!K86)</f>
        <v>5</v>
      </c>
      <c r="O85" s="113">
        <f>IF('data input for RPA'!L86="","",'data input for RPA'!L86)</f>
      </c>
      <c r="P85" s="113" t="str">
        <f t="shared" si="13"/>
        <v>N</v>
      </c>
      <c r="Q85" s="10" t="str">
        <f t="shared" si="14"/>
        <v>No detected value of B, Step 7</v>
      </c>
      <c r="R85" s="113">
        <f>'data input for RPA'!O86</f>
      </c>
      <c r="S85" s="152" t="str">
        <f t="shared" si="7"/>
        <v>No</v>
      </c>
      <c r="T85" s="153" t="str">
        <f t="shared" si="15"/>
        <v>Ud;MEC&lt;C &amp; B is ND</v>
      </c>
    </row>
    <row r="86" spans="1:20" ht="12.75">
      <c r="A86" s="7">
        <v>82</v>
      </c>
      <c r="B86" s="8" t="s">
        <v>97</v>
      </c>
      <c r="C86" s="101">
        <f>Criteria!C91</f>
        <v>9.1</v>
      </c>
      <c r="D86" s="113" t="str">
        <f>IF('data input for RPA'!C87="","",'data input for RPA'!C87)</f>
        <v>Y</v>
      </c>
      <c r="E86" s="113" t="str">
        <f>IF('data input for RPA'!D87="","",'data input for RPA'!D87)</f>
        <v>Y</v>
      </c>
      <c r="F86" s="113">
        <f>IF('data input for RPA'!E87="","",'data input for RPA'!E87)</f>
        <v>1</v>
      </c>
      <c r="G86" s="113">
        <f>IF('data input for RPA'!F87="","",'data input for RPA'!F87)</f>
      </c>
      <c r="H86" s="10" t="str">
        <f t="shared" si="12"/>
        <v>All ND, MDL&lt;C, MEC=MDL</v>
      </c>
      <c r="I86" s="114">
        <f t="shared" si="10"/>
        <v>1</v>
      </c>
      <c r="J86" s="10" t="str">
        <f t="shared" si="11"/>
        <v>MEC&lt;C, go to Step 5</v>
      </c>
      <c r="K86" s="114"/>
      <c r="L86" s="113" t="str">
        <f>IF('data input for RPA'!I87="","",'data input for RPA'!I87)</f>
        <v>Y</v>
      </c>
      <c r="M86" s="113" t="str">
        <f>IF('data input for RPA'!J87="","",'data input for RPA'!J87)</f>
        <v>Y</v>
      </c>
      <c r="N86" s="113">
        <f>IF('data input for RPA'!K87="","",'data input for RPA'!K87)</f>
        <v>1</v>
      </c>
      <c r="O86" s="113">
        <f>IF('data input for RPA'!L87="","",'data input for RPA'!L87)</f>
      </c>
      <c r="P86" s="113" t="str">
        <f t="shared" si="13"/>
        <v>N</v>
      </c>
      <c r="Q86" s="10" t="str">
        <f t="shared" si="14"/>
        <v>No detected value of B, Step 7</v>
      </c>
      <c r="R86" s="113">
        <f>'data input for RPA'!O87</f>
      </c>
      <c r="S86" s="152" t="str">
        <f t="shared" si="7"/>
        <v>No</v>
      </c>
      <c r="T86" s="153" t="str">
        <f t="shared" si="15"/>
        <v>Ud;MEC&lt;C &amp; B is ND</v>
      </c>
    </row>
    <row r="87" spans="1:20" ht="12.75">
      <c r="A87" s="7">
        <v>83</v>
      </c>
      <c r="B87" s="8" t="s">
        <v>98</v>
      </c>
      <c r="C87" s="99" t="str">
        <f>Criteria!C92</f>
        <v>No Criteria</v>
      </c>
      <c r="D87" s="113" t="str">
        <f>IF('data input for RPA'!C88="","",'data input for RPA'!C88)</f>
        <v>Y</v>
      </c>
      <c r="E87" s="113" t="str">
        <f>IF('data input for RPA'!D88="","",'data input for RPA'!D88)</f>
        <v>Y</v>
      </c>
      <c r="F87" s="113">
        <f>IF('data input for RPA'!E88="","",'data input for RPA'!E88)</f>
        <v>1</v>
      </c>
      <c r="G87" s="113">
        <f>IF('data input for RPA'!F88="","",'data input for RPA'!F88)</f>
      </c>
      <c r="H87" s="10" t="str">
        <f t="shared" si="12"/>
        <v>No Criteria</v>
      </c>
      <c r="I87" s="114" t="str">
        <f t="shared" si="10"/>
        <v>No Criteria</v>
      </c>
      <c r="J87" s="10" t="str">
        <f t="shared" si="11"/>
        <v>No Criteria</v>
      </c>
      <c r="K87" s="114"/>
      <c r="L87" s="113" t="str">
        <f>IF('data input for RPA'!I88="","",'data input for RPA'!I88)</f>
        <v>Y</v>
      </c>
      <c r="M87" s="113" t="str">
        <f>IF('data input for RPA'!J88="","",'data input for RPA'!J88)</f>
        <v>Y</v>
      </c>
      <c r="N87" s="113">
        <f>IF('data input for RPA'!K88="","",'data input for RPA'!K88)</f>
        <v>1</v>
      </c>
      <c r="O87" s="113">
        <f>IF('data input for RPA'!L88="","",'data input for RPA'!L88)</f>
      </c>
      <c r="P87" s="113" t="str">
        <f t="shared" si="13"/>
        <v>N</v>
      </c>
      <c r="Q87" s="10" t="str">
        <f t="shared" si="14"/>
        <v>No Criteria</v>
      </c>
      <c r="R87" s="113" t="str">
        <f>'data input for RPA'!O88</f>
        <v>No Criteria</v>
      </c>
      <c r="S87" s="152" t="str">
        <f t="shared" si="7"/>
        <v>Uo</v>
      </c>
      <c r="T87" s="153" t="str">
        <f t="shared" si="15"/>
        <v>No Criteria</v>
      </c>
    </row>
    <row r="88" spans="1:20" ht="12.75">
      <c r="A88" s="7">
        <v>84</v>
      </c>
      <c r="B88" s="8" t="s">
        <v>99</v>
      </c>
      <c r="C88" s="99" t="str">
        <f>Criteria!C93</f>
        <v>No Criteria</v>
      </c>
      <c r="D88" s="113" t="str">
        <f>IF('data input for RPA'!C89="","",'data input for RPA'!C89)</f>
        <v>Y</v>
      </c>
      <c r="E88" s="113" t="str">
        <f>IF('data input for RPA'!D89="","",'data input for RPA'!D89)</f>
        <v>Y</v>
      </c>
      <c r="F88" s="113">
        <f>IF('data input for RPA'!E89="","",'data input for RPA'!E89)</f>
        <v>1</v>
      </c>
      <c r="G88" s="113">
        <f>IF('data input for RPA'!F89="","",'data input for RPA'!F89)</f>
      </c>
      <c r="H88" s="10" t="str">
        <f t="shared" si="12"/>
        <v>No Criteria</v>
      </c>
      <c r="I88" s="114" t="str">
        <f t="shared" si="10"/>
        <v>No Criteria</v>
      </c>
      <c r="J88" s="10" t="str">
        <f t="shared" si="11"/>
        <v>No Criteria</v>
      </c>
      <c r="K88" s="114"/>
      <c r="L88" s="113" t="str">
        <f>IF('data input for RPA'!I89="","",'data input for RPA'!I89)</f>
        <v>Y</v>
      </c>
      <c r="M88" s="113" t="str">
        <f>IF('data input for RPA'!J89="","",'data input for RPA'!J89)</f>
        <v>N</v>
      </c>
      <c r="N88" s="113">
        <f>IF('data input for RPA'!K89="","",'data input for RPA'!K89)</f>
      </c>
      <c r="O88" s="113">
        <f>IF('data input for RPA'!L89="","",'data input for RPA'!L89)</f>
        <v>47</v>
      </c>
      <c r="P88" s="113">
        <f t="shared" si="13"/>
      </c>
      <c r="Q88" s="10" t="str">
        <f t="shared" si="14"/>
        <v>No Criteria</v>
      </c>
      <c r="R88" s="113" t="str">
        <f>'data input for RPA'!O89</f>
        <v>No Criteria</v>
      </c>
      <c r="S88" s="152" t="str">
        <f aca="true" t="shared" si="16" ref="S88:S125">IF(C88="No Criteria","Uo",IF(D88="N",IF(L88="N","Ud",IF(M88="Y","No",IF(O88&gt;C88,"Yes","Ud"))),IF(H88="All ND, MinDL&gt;C, Go to Step 5, &amp; IM",IF(L88="N","No",IF(M88="Y","No",IF(O88&gt;C88,"Yes","No"))),IF(I88="No Criteria","Uo",IF(I88&gt;C88,"Yes",IF(M88="N",IF(O88&gt;C88,"Yes","No"),"No"))))))</f>
        <v>Uo</v>
      </c>
      <c r="T88" s="153" t="str">
        <f t="shared" si="15"/>
        <v>No Criteria</v>
      </c>
    </row>
    <row r="89" spans="1:20" ht="12.75">
      <c r="A89" s="7">
        <v>85</v>
      </c>
      <c r="B89" s="8" t="s">
        <v>100</v>
      </c>
      <c r="C89" s="101">
        <f>Criteria!C94</f>
        <v>0.54</v>
      </c>
      <c r="D89" s="113" t="str">
        <f>IF('data input for RPA'!C90="","",'data input for RPA'!C90)</f>
        <v>Y</v>
      </c>
      <c r="E89" s="113" t="str">
        <f>IF('data input for RPA'!D90="","",'data input for RPA'!D90)</f>
        <v>Y</v>
      </c>
      <c r="F89" s="113">
        <f>IF('data input for RPA'!E90="","",'data input for RPA'!E90)</f>
        <v>0.5</v>
      </c>
      <c r="G89" s="113">
        <f>IF('data input for RPA'!F90="","",'data input for RPA'!F90)</f>
      </c>
      <c r="H89" s="10" t="str">
        <f t="shared" si="12"/>
        <v>All ND, MDL&lt;C, MEC=MDL</v>
      </c>
      <c r="I89" s="114">
        <f t="shared" si="10"/>
        <v>0.5</v>
      </c>
      <c r="J89" s="10" t="str">
        <f t="shared" si="11"/>
        <v>MEC&lt;C, go to Step 5</v>
      </c>
      <c r="K89" s="114"/>
      <c r="L89" s="113" t="str">
        <f>IF('data input for RPA'!I90="","",'data input for RPA'!I90)</f>
        <v>Y</v>
      </c>
      <c r="M89" s="113" t="str">
        <f>IF('data input for RPA'!J90="","",'data input for RPA'!J90)</f>
        <v>Y</v>
      </c>
      <c r="N89" s="113">
        <f>IF('data input for RPA'!K90="","",'data input for RPA'!K90)</f>
        <v>0.5</v>
      </c>
      <c r="O89" s="113">
        <f>IF('data input for RPA'!L90="","",'data input for RPA'!L90)</f>
      </c>
      <c r="P89" s="113" t="str">
        <f t="shared" si="13"/>
        <v>N</v>
      </c>
      <c r="Q89" s="10" t="str">
        <f t="shared" si="14"/>
        <v>No detected value of B, Step 7</v>
      </c>
      <c r="R89" s="113">
        <f>'data input for RPA'!O90</f>
      </c>
      <c r="S89" s="152" t="str">
        <f t="shared" si="16"/>
        <v>No</v>
      </c>
      <c r="T89" s="153" t="str">
        <f t="shared" si="15"/>
        <v>Ud;MEC&lt;C &amp; B is ND</v>
      </c>
    </row>
    <row r="90" spans="1:20" ht="12.75">
      <c r="A90" s="7">
        <v>86</v>
      </c>
      <c r="B90" s="8" t="s">
        <v>101</v>
      </c>
      <c r="C90" s="99">
        <f>Criteria!C95</f>
        <v>370</v>
      </c>
      <c r="D90" s="113" t="str">
        <f>IF('data input for RPA'!C91="","",'data input for RPA'!C91)</f>
        <v>Y</v>
      </c>
      <c r="E90" s="113" t="str">
        <f>IF('data input for RPA'!D91="","",'data input for RPA'!D91)</f>
        <v>Y</v>
      </c>
      <c r="F90" s="113">
        <f>IF('data input for RPA'!E91="","",'data input for RPA'!E91)</f>
        <v>0.5</v>
      </c>
      <c r="G90" s="113">
        <f>IF('data input for RPA'!F91="","",'data input for RPA'!F91)</f>
      </c>
      <c r="H90" s="10" t="str">
        <f t="shared" si="12"/>
        <v>All ND, MDL&lt;C, MEC=MDL</v>
      </c>
      <c r="I90" s="114">
        <f t="shared" si="10"/>
        <v>0.5</v>
      </c>
      <c r="J90" s="10" t="str">
        <f t="shared" si="11"/>
        <v>MEC&lt;C, go to Step 5</v>
      </c>
      <c r="K90" s="114"/>
      <c r="L90" s="113" t="str">
        <f>IF('data input for RPA'!I91="","",'data input for RPA'!I91)</f>
        <v>Y</v>
      </c>
      <c r="M90" s="113" t="str">
        <f>IF('data input for RPA'!J91="","",'data input for RPA'!J91)</f>
        <v>Y</v>
      </c>
      <c r="N90" s="113">
        <f>IF('data input for RPA'!K91="","",'data input for RPA'!K91)</f>
        <v>0.5</v>
      </c>
      <c r="O90" s="113">
        <f>IF('data input for RPA'!L91="","",'data input for RPA'!L91)</f>
      </c>
      <c r="P90" s="113" t="str">
        <f t="shared" si="13"/>
        <v>N</v>
      </c>
      <c r="Q90" s="10" t="str">
        <f t="shared" si="14"/>
        <v>No detected value of B, Step 7</v>
      </c>
      <c r="R90" s="113">
        <f>'data input for RPA'!O91</f>
      </c>
      <c r="S90" s="152" t="str">
        <f t="shared" si="16"/>
        <v>No</v>
      </c>
      <c r="T90" s="153" t="str">
        <f t="shared" si="15"/>
        <v>Ud;MEC&lt;C &amp; B is ND</v>
      </c>
    </row>
    <row r="91" spans="1:20" ht="12.75">
      <c r="A91" s="7">
        <v>87</v>
      </c>
      <c r="B91" s="8" t="s">
        <v>102</v>
      </c>
      <c r="C91" s="99">
        <f>Criteria!C96</f>
        <v>14000</v>
      </c>
      <c r="D91" s="113" t="str">
        <f>IF('data input for RPA'!C92="","",'data input for RPA'!C92)</f>
        <v>Y</v>
      </c>
      <c r="E91" s="113" t="str">
        <f>IF('data input for RPA'!D92="","",'data input for RPA'!D92)</f>
        <v>Y</v>
      </c>
      <c r="F91" s="113">
        <f>IF('data input for RPA'!E92="","",'data input for RPA'!E92)</f>
        <v>2</v>
      </c>
      <c r="G91" s="113">
        <f>IF('data input for RPA'!F92="","",'data input for RPA'!F92)</f>
      </c>
      <c r="H91" s="10" t="str">
        <f t="shared" si="12"/>
        <v>All ND, MDL&lt;C, MEC=MDL</v>
      </c>
      <c r="I91" s="114">
        <f t="shared" si="10"/>
        <v>2</v>
      </c>
      <c r="J91" s="10" t="str">
        <f t="shared" si="11"/>
        <v>MEC&lt;C, go to Step 5</v>
      </c>
      <c r="K91" s="114"/>
      <c r="L91" s="113" t="str">
        <f>IF('data input for RPA'!I92="","",'data input for RPA'!I92)</f>
        <v>Y</v>
      </c>
      <c r="M91" s="113" t="str">
        <f>IF('data input for RPA'!J92="","",'data input for RPA'!J92)</f>
        <v>Y</v>
      </c>
      <c r="N91" s="113">
        <f>IF('data input for RPA'!K92="","",'data input for RPA'!K92)</f>
        <v>2</v>
      </c>
      <c r="O91" s="113">
        <f>IF('data input for RPA'!L92="","",'data input for RPA'!L92)</f>
      </c>
      <c r="P91" s="113" t="str">
        <f t="shared" si="13"/>
        <v>N</v>
      </c>
      <c r="Q91" s="10" t="str">
        <f t="shared" si="14"/>
        <v>No detected value of B, Step 7</v>
      </c>
      <c r="R91" s="113">
        <f>'data input for RPA'!O92</f>
      </c>
      <c r="S91" s="152" t="str">
        <f t="shared" si="16"/>
        <v>No</v>
      </c>
      <c r="T91" s="153" t="str">
        <f t="shared" si="15"/>
        <v>Ud;MEC&lt;C &amp; B is ND</v>
      </c>
    </row>
    <row r="92" spans="1:20" ht="12.75">
      <c r="A92" s="7">
        <v>88</v>
      </c>
      <c r="B92" s="8" t="s">
        <v>103</v>
      </c>
      <c r="C92" s="105">
        <f>Criteria!C97</f>
        <v>0.00077</v>
      </c>
      <c r="D92" s="113" t="str">
        <f>IF('data input for RPA'!C93="","",'data input for RPA'!C93)</f>
        <v>Y</v>
      </c>
      <c r="E92" s="113" t="str">
        <f>IF('data input for RPA'!D93="","",'data input for RPA'!D93)</f>
        <v>Y</v>
      </c>
      <c r="F92" s="113">
        <f>IF('data input for RPA'!E93="","",'data input for RPA'!E93)</f>
        <v>0.5</v>
      </c>
      <c r="G92" s="113">
        <f>IF('data input for RPA'!F93="","",'data input for RPA'!F93)</f>
      </c>
      <c r="H92" s="10" t="str">
        <f t="shared" si="12"/>
        <v>All ND, MinDL&gt;C, Go to Step 5, &amp; IM</v>
      </c>
      <c r="I92" s="114">
        <f t="shared" si="10"/>
      </c>
      <c r="J92" s="10">
        <f t="shared" si="11"/>
      </c>
      <c r="K92" s="114"/>
      <c r="L92" s="113" t="str">
        <f>IF('data input for RPA'!I93="","",'data input for RPA'!I93)</f>
        <v>Y</v>
      </c>
      <c r="M92" s="113" t="str">
        <f>IF('data input for RPA'!J93="","",'data input for RPA'!J93)</f>
        <v>Y</v>
      </c>
      <c r="N92" s="113">
        <f>IF('data input for RPA'!K93="","",'data input for RPA'!K93)</f>
        <v>0.5</v>
      </c>
      <c r="O92" s="113">
        <f>IF('data input for RPA'!L93="","",'data input for RPA'!L93)</f>
      </c>
      <c r="P92" s="113" t="str">
        <f t="shared" si="13"/>
        <v>Y</v>
      </c>
      <c r="Q92" s="10" t="str">
        <f t="shared" si="14"/>
        <v>No detected value of B, Step 7</v>
      </c>
      <c r="R92" s="113">
        <f>'data input for RPA'!O93</f>
      </c>
      <c r="S92" s="152" t="str">
        <f t="shared" si="16"/>
        <v>No</v>
      </c>
      <c r="T92" s="153" t="str">
        <f t="shared" si="15"/>
        <v>UD; effluent data and B are ND</v>
      </c>
    </row>
    <row r="93" spans="1:20" ht="12.75">
      <c r="A93" s="7">
        <v>89</v>
      </c>
      <c r="B93" s="8" t="s">
        <v>104</v>
      </c>
      <c r="C93" s="99">
        <f>Criteria!C98</f>
        <v>50</v>
      </c>
      <c r="D93" s="113" t="str">
        <f>IF('data input for RPA'!C94="","",'data input for RPA'!C94)</f>
        <v>Y</v>
      </c>
      <c r="E93" s="113" t="str">
        <f>IF('data input for RPA'!D94="","",'data input for RPA'!D94)</f>
        <v>Y</v>
      </c>
      <c r="F93" s="113">
        <f>IF('data input for RPA'!E94="","",'data input for RPA'!E94)</f>
        <v>0.5</v>
      </c>
      <c r="G93" s="113">
        <f>IF('data input for RPA'!F94="","",'data input for RPA'!F94)</f>
      </c>
      <c r="H93" s="10" t="str">
        <f t="shared" si="12"/>
        <v>All ND, MDL&lt;C, MEC=MDL</v>
      </c>
      <c r="I93" s="114">
        <f t="shared" si="10"/>
        <v>0.5</v>
      </c>
      <c r="J93" s="10" t="str">
        <f t="shared" si="11"/>
        <v>MEC&lt;C, go to Step 5</v>
      </c>
      <c r="K93" s="114"/>
      <c r="L93" s="113" t="str">
        <f>IF('data input for RPA'!I94="","",'data input for RPA'!I94)</f>
        <v>Y</v>
      </c>
      <c r="M93" s="113" t="str">
        <f>IF('data input for RPA'!J94="","",'data input for RPA'!J94)</f>
        <v>Y</v>
      </c>
      <c r="N93" s="113">
        <f>IF('data input for RPA'!K94="","",'data input for RPA'!K94)</f>
        <v>0.5</v>
      </c>
      <c r="O93" s="113">
        <f>IF('data input for RPA'!L94="","",'data input for RPA'!L94)</f>
      </c>
      <c r="P93" s="113" t="str">
        <f t="shared" si="13"/>
        <v>N</v>
      </c>
      <c r="Q93" s="10" t="str">
        <f t="shared" si="14"/>
        <v>No detected value of B, Step 7</v>
      </c>
      <c r="R93" s="113">
        <f>'data input for RPA'!O94</f>
      </c>
      <c r="S93" s="152" t="str">
        <f t="shared" si="16"/>
        <v>No</v>
      </c>
      <c r="T93" s="153" t="str">
        <f t="shared" si="15"/>
        <v>Ud;MEC&lt;C &amp; B is ND</v>
      </c>
    </row>
    <row r="94" spans="1:20" ht="12.75">
      <c r="A94" s="7">
        <v>90</v>
      </c>
      <c r="B94" s="8" t="s">
        <v>105</v>
      </c>
      <c r="C94" s="99">
        <f>Criteria!C99</f>
        <v>17000</v>
      </c>
      <c r="D94" s="113" t="str">
        <f>IF('data input for RPA'!C95="","",'data input for RPA'!C95)</f>
        <v>Y</v>
      </c>
      <c r="E94" s="113" t="str">
        <f>IF('data input for RPA'!D95="","",'data input for RPA'!D95)</f>
        <v>Y</v>
      </c>
      <c r="F94" s="113">
        <f>IF('data input for RPA'!E95="","",'data input for RPA'!E95)</f>
        <v>1</v>
      </c>
      <c r="G94" s="113">
        <f>IF('data input for RPA'!F95="","",'data input for RPA'!F95)</f>
      </c>
      <c r="H94" s="10" t="str">
        <f t="shared" si="12"/>
        <v>All ND, MDL&lt;C, MEC=MDL</v>
      </c>
      <c r="I94" s="114">
        <f t="shared" si="10"/>
        <v>1</v>
      </c>
      <c r="J94" s="10" t="str">
        <f t="shared" si="11"/>
        <v>MEC&lt;C, go to Step 5</v>
      </c>
      <c r="K94" s="114"/>
      <c r="L94" s="113" t="str">
        <f>IF('data input for RPA'!I95="","",'data input for RPA'!I95)</f>
        <v>Y</v>
      </c>
      <c r="M94" s="113" t="str">
        <f>IF('data input for RPA'!J95="","",'data input for RPA'!J95)</f>
        <v>Y</v>
      </c>
      <c r="N94" s="113">
        <f>IF('data input for RPA'!K95="","",'data input for RPA'!K95)</f>
        <v>1</v>
      </c>
      <c r="O94" s="113">
        <f>IF('data input for RPA'!L95="","",'data input for RPA'!L95)</f>
      </c>
      <c r="P94" s="113" t="str">
        <f t="shared" si="13"/>
        <v>N</v>
      </c>
      <c r="Q94" s="10" t="str">
        <f t="shared" si="14"/>
        <v>No detected value of B, Step 7</v>
      </c>
      <c r="R94" s="113">
        <f>'data input for RPA'!O95</f>
      </c>
      <c r="S94" s="152" t="str">
        <f t="shared" si="16"/>
        <v>No</v>
      </c>
      <c r="T94" s="153" t="str">
        <f t="shared" si="15"/>
        <v>Ud;MEC&lt;C &amp; B is ND</v>
      </c>
    </row>
    <row r="95" spans="1:20" ht="12.75">
      <c r="A95" s="7">
        <v>91</v>
      </c>
      <c r="B95" s="8" t="s">
        <v>106</v>
      </c>
      <c r="C95" s="101">
        <f>Criteria!C100</f>
        <v>8.9</v>
      </c>
      <c r="D95" s="113" t="str">
        <f>IF('data input for RPA'!C96="","",'data input for RPA'!C96)</f>
        <v>Y</v>
      </c>
      <c r="E95" s="113" t="str">
        <f>IF('data input for RPA'!D96="","",'data input for RPA'!D96)</f>
        <v>Y</v>
      </c>
      <c r="F95" s="113">
        <f>IF('data input for RPA'!E96="","",'data input for RPA'!E96)</f>
        <v>0.5</v>
      </c>
      <c r="G95" s="113">
        <f>IF('data input for RPA'!F96="","",'data input for RPA'!F96)</f>
      </c>
      <c r="H95" s="10" t="str">
        <f t="shared" si="12"/>
        <v>All ND, MDL&lt;C, MEC=MDL</v>
      </c>
      <c r="I95" s="114">
        <f t="shared" si="10"/>
        <v>0.5</v>
      </c>
      <c r="J95" s="10" t="str">
        <f t="shared" si="11"/>
        <v>MEC&lt;C, go to Step 5</v>
      </c>
      <c r="K95" s="114"/>
      <c r="L95" s="113" t="str">
        <f>IF('data input for RPA'!I96="","",'data input for RPA'!I96)</f>
        <v>Y</v>
      </c>
      <c r="M95" s="113" t="str">
        <f>IF('data input for RPA'!J96="","",'data input for RPA'!J96)</f>
        <v>Y</v>
      </c>
      <c r="N95" s="113">
        <f>IF('data input for RPA'!K96="","",'data input for RPA'!K96)</f>
        <v>0.5</v>
      </c>
      <c r="O95" s="113">
        <f>IF('data input for RPA'!L96="","",'data input for RPA'!L96)</f>
      </c>
      <c r="P95" s="113" t="str">
        <f t="shared" si="13"/>
        <v>N</v>
      </c>
      <c r="Q95" s="10" t="str">
        <f t="shared" si="14"/>
        <v>No detected value of B, Step 7</v>
      </c>
      <c r="R95" s="113">
        <f>'data input for RPA'!O96</f>
      </c>
      <c r="S95" s="152" t="str">
        <f t="shared" si="16"/>
        <v>No</v>
      </c>
      <c r="T95" s="153" t="str">
        <f t="shared" si="15"/>
        <v>Ud;MEC&lt;C &amp; B is ND</v>
      </c>
    </row>
    <row r="96" spans="1:20" ht="12.75">
      <c r="A96" s="7">
        <v>92</v>
      </c>
      <c r="B96" s="8" t="s">
        <v>107</v>
      </c>
      <c r="C96" s="102">
        <f>Criteria!C101</f>
        <v>0.049</v>
      </c>
      <c r="D96" s="113" t="str">
        <f>IF('data input for RPA'!C97="","",'data input for RPA'!C97)</f>
        <v>Y</v>
      </c>
      <c r="E96" s="113" t="str">
        <f>IF('data input for RPA'!D97="","",'data input for RPA'!D97)</f>
        <v>Y</v>
      </c>
      <c r="F96" s="113">
        <f>IF('data input for RPA'!E97="","",'data input for RPA'!E97)</f>
        <v>1</v>
      </c>
      <c r="G96" s="113">
        <f>IF('data input for RPA'!F97="","",'data input for RPA'!F97)</f>
      </c>
      <c r="H96" s="10" t="str">
        <f t="shared" si="12"/>
        <v>All ND, MinDL&gt;C, Go to Step 5, &amp; IM</v>
      </c>
      <c r="I96" s="114">
        <f t="shared" si="10"/>
      </c>
      <c r="J96" s="10">
        <f t="shared" si="11"/>
      </c>
      <c r="K96" s="114"/>
      <c r="L96" s="113" t="str">
        <f>IF('data input for RPA'!I97="","",'data input for RPA'!I97)</f>
        <v>Y</v>
      </c>
      <c r="M96" s="113" t="str">
        <f>IF('data input for RPA'!J97="","",'data input for RPA'!J97)</f>
        <v>Y</v>
      </c>
      <c r="N96" s="113">
        <f>IF('data input for RPA'!K97="","",'data input for RPA'!K97)</f>
        <v>1</v>
      </c>
      <c r="O96" s="113">
        <f>IF('data input for RPA'!L97="","",'data input for RPA'!L97)</f>
      </c>
      <c r="P96" s="113" t="str">
        <f t="shared" si="13"/>
        <v>Y</v>
      </c>
      <c r="Q96" s="10" t="str">
        <f t="shared" si="14"/>
        <v>No detected value of B, Step 7</v>
      </c>
      <c r="R96" s="113">
        <f>'data input for RPA'!O97</f>
      </c>
      <c r="S96" s="152" t="str">
        <f t="shared" si="16"/>
        <v>No</v>
      </c>
      <c r="T96" s="153" t="str">
        <f t="shared" si="15"/>
        <v>UD; effluent data and B are ND</v>
      </c>
    </row>
    <row r="97" spans="1:20" ht="12.75">
      <c r="A97" s="7">
        <v>93</v>
      </c>
      <c r="B97" s="8" t="s">
        <v>108</v>
      </c>
      <c r="C97" s="99">
        <f>Criteria!C102</f>
        <v>600</v>
      </c>
      <c r="D97" s="113" t="str">
        <f>IF('data input for RPA'!C98="","",'data input for RPA'!C98)</f>
        <v>Y</v>
      </c>
      <c r="E97" s="113" t="str">
        <f>IF('data input for RPA'!D98="","",'data input for RPA'!D98)</f>
        <v>Y</v>
      </c>
      <c r="F97" s="113">
        <f>IF('data input for RPA'!E98="","",'data input for RPA'!E98)</f>
        <v>0.5</v>
      </c>
      <c r="G97" s="113">
        <f>IF('data input for RPA'!F98="","",'data input for RPA'!F98)</f>
      </c>
      <c r="H97" s="10" t="str">
        <f t="shared" si="12"/>
        <v>All ND, MDL&lt;C, MEC=MDL</v>
      </c>
      <c r="I97" s="114">
        <f t="shared" si="10"/>
        <v>0.5</v>
      </c>
      <c r="J97" s="10" t="str">
        <f t="shared" si="11"/>
        <v>MEC&lt;C, go to Step 5</v>
      </c>
      <c r="K97" s="114"/>
      <c r="L97" s="113" t="str">
        <f>IF('data input for RPA'!I98="","",'data input for RPA'!I98)</f>
        <v>Y</v>
      </c>
      <c r="M97" s="113" t="str">
        <f>IF('data input for RPA'!J98="","",'data input for RPA'!J98)</f>
        <v>Y</v>
      </c>
      <c r="N97" s="113">
        <f>IF('data input for RPA'!K98="","",'data input for RPA'!K98)</f>
        <v>0.5</v>
      </c>
      <c r="O97" s="113">
        <f>IF('data input for RPA'!L98="","",'data input for RPA'!L98)</f>
      </c>
      <c r="P97" s="113" t="str">
        <f t="shared" si="13"/>
        <v>N</v>
      </c>
      <c r="Q97" s="10" t="str">
        <f t="shared" si="14"/>
        <v>No detected value of B, Step 7</v>
      </c>
      <c r="R97" s="113">
        <f>'data input for RPA'!O98</f>
      </c>
      <c r="S97" s="152" t="str">
        <f t="shared" si="16"/>
        <v>No</v>
      </c>
      <c r="T97" s="153" t="str">
        <f t="shared" si="15"/>
        <v>Ud;MEC&lt;C &amp; B is ND</v>
      </c>
    </row>
    <row r="98" spans="1:20" ht="12.75">
      <c r="A98" s="7">
        <v>94</v>
      </c>
      <c r="B98" s="8" t="s">
        <v>109</v>
      </c>
      <c r="C98" s="99" t="str">
        <f>Criteria!C103</f>
        <v>No Criteria</v>
      </c>
      <c r="D98" s="113" t="str">
        <f>IF('data input for RPA'!C99="","",'data input for RPA'!C99)</f>
        <v>Y</v>
      </c>
      <c r="E98" s="113" t="str">
        <f>IF('data input for RPA'!D99="","",'data input for RPA'!D99)</f>
        <v>Y</v>
      </c>
      <c r="F98" s="113">
        <f>IF('data input for RPA'!E99="","",'data input for RPA'!E99)</f>
        <v>0.5</v>
      </c>
      <c r="G98" s="113">
        <f>IF('data input for RPA'!F99="","",'data input for RPA'!F99)</f>
      </c>
      <c r="H98" s="10" t="str">
        <f t="shared" si="12"/>
        <v>No Criteria</v>
      </c>
      <c r="I98" s="114" t="str">
        <f t="shared" si="10"/>
        <v>No Criteria</v>
      </c>
      <c r="J98" s="10" t="str">
        <f t="shared" si="11"/>
        <v>No Criteria</v>
      </c>
      <c r="K98" s="114"/>
      <c r="L98" s="113" t="str">
        <f>IF('data input for RPA'!I99="","",'data input for RPA'!I99)</f>
        <v>Y</v>
      </c>
      <c r="M98" s="113" t="str">
        <f>IF('data input for RPA'!J99="","",'data input for RPA'!J99)</f>
        <v>Y</v>
      </c>
      <c r="N98" s="113">
        <f>IF('data input for RPA'!K99="","",'data input for RPA'!K99)</f>
        <v>0.5</v>
      </c>
      <c r="O98" s="113">
        <f>IF('data input for RPA'!L99="","",'data input for RPA'!L99)</f>
      </c>
      <c r="P98" s="113" t="str">
        <f t="shared" si="13"/>
        <v>N</v>
      </c>
      <c r="Q98" s="10" t="str">
        <f t="shared" si="14"/>
        <v>No Criteria</v>
      </c>
      <c r="R98" s="113" t="str">
        <f>'data input for RPA'!O99</f>
        <v>No Criteria</v>
      </c>
      <c r="S98" s="152" t="str">
        <f t="shared" si="16"/>
        <v>Uo</v>
      </c>
      <c r="T98" s="153" t="str">
        <f t="shared" si="15"/>
        <v>No Criteria</v>
      </c>
    </row>
    <row r="99" spans="1:20" ht="12.75">
      <c r="A99" s="7">
        <v>95</v>
      </c>
      <c r="B99" s="8" t="s">
        <v>110</v>
      </c>
      <c r="C99" s="99">
        <f>Criteria!C104</f>
        <v>1900</v>
      </c>
      <c r="D99" s="113" t="str">
        <f>IF('data input for RPA'!C100="","",'data input for RPA'!C100)</f>
        <v>Y</v>
      </c>
      <c r="E99" s="113" t="str">
        <f>IF('data input for RPA'!D100="","",'data input for RPA'!D100)</f>
        <v>Y</v>
      </c>
      <c r="F99" s="113">
        <f>IF('data input for RPA'!E100="","",'data input for RPA'!E100)</f>
        <v>0.5</v>
      </c>
      <c r="G99" s="113">
        <f>IF('data input for RPA'!F100="","",'data input for RPA'!F100)</f>
      </c>
      <c r="H99" s="10" t="str">
        <f t="shared" si="12"/>
        <v>All ND, MDL&lt;C, MEC=MDL</v>
      </c>
      <c r="I99" s="114">
        <f t="shared" si="10"/>
        <v>0.5</v>
      </c>
      <c r="J99" s="10" t="str">
        <f t="shared" si="11"/>
        <v>MEC&lt;C, go to Step 5</v>
      </c>
      <c r="K99" s="114"/>
      <c r="L99" s="113" t="str">
        <f>IF('data input for RPA'!I100="","",'data input for RPA'!I100)</f>
        <v>Y</v>
      </c>
      <c r="M99" s="113" t="str">
        <f>IF('data input for RPA'!J100="","",'data input for RPA'!J100)</f>
        <v>Y</v>
      </c>
      <c r="N99" s="113">
        <f>IF('data input for RPA'!K100="","",'data input for RPA'!K100)</f>
        <v>0.5</v>
      </c>
      <c r="O99" s="113">
        <f>IF('data input for RPA'!L100="","",'data input for RPA'!L100)</f>
      </c>
      <c r="P99" s="113" t="str">
        <f t="shared" si="13"/>
        <v>N</v>
      </c>
      <c r="Q99" s="10" t="str">
        <f t="shared" si="14"/>
        <v>No detected value of B, Step 7</v>
      </c>
      <c r="R99" s="113">
        <f>'data input for RPA'!O100</f>
      </c>
      <c r="S99" s="152" t="str">
        <f t="shared" si="16"/>
        <v>No</v>
      </c>
      <c r="T99" s="153" t="str">
        <f t="shared" si="15"/>
        <v>Ud;MEC&lt;C &amp; B is ND</v>
      </c>
    </row>
    <row r="100" spans="1:20" ht="12.75">
      <c r="A100" s="7">
        <v>96</v>
      </c>
      <c r="B100" s="8" t="s">
        <v>111</v>
      </c>
      <c r="C100" s="101">
        <f>Criteria!C105</f>
        <v>8.1</v>
      </c>
      <c r="D100" s="113" t="str">
        <f>IF('data input for RPA'!C101="","",'data input for RPA'!C101)</f>
        <v>Y</v>
      </c>
      <c r="E100" s="113" t="str">
        <f>IF('data input for RPA'!D101="","",'data input for RPA'!D101)</f>
        <v>Y</v>
      </c>
      <c r="F100" s="113">
        <f>IF('data input for RPA'!E101="","",'data input for RPA'!E101)</f>
        <v>0.5</v>
      </c>
      <c r="G100" s="113">
        <f>IF('data input for RPA'!F101="","",'data input for RPA'!F101)</f>
      </c>
      <c r="H100" s="10" t="str">
        <f t="shared" si="12"/>
        <v>All ND, MDL&lt;C, MEC=MDL</v>
      </c>
      <c r="I100" s="114">
        <f aca="true" t="shared" si="17" ref="I100:I124">IF(C100="No Criteria","No Criteria",IF(D100="N","",IF(E100="N",G100,IF(H100="All ND, MDL&lt;C, MEC=MDL",F100,""))))</f>
        <v>0.5</v>
      </c>
      <c r="J100" s="10" t="str">
        <f aca="true" t="shared" si="18" ref="J100:J124">IF(C100="No Criteria","No Criteria",IF(I100="","",IF(I100&gt;=C100,"MEC&gt;=C, Effluent Limits Required","MEC&lt;C, go to Step 5")))</f>
        <v>MEC&lt;C, go to Step 5</v>
      </c>
      <c r="K100" s="114"/>
      <c r="L100" s="113" t="str">
        <f>IF('data input for RPA'!I101="","",'data input for RPA'!I101)</f>
        <v>Y</v>
      </c>
      <c r="M100" s="113" t="str">
        <f>IF('data input for RPA'!J101="","",'data input for RPA'!J101)</f>
        <v>Y</v>
      </c>
      <c r="N100" s="113">
        <f>IF('data input for RPA'!K101="","",'data input for RPA'!K101)</f>
        <v>0.5</v>
      </c>
      <c r="O100" s="113">
        <f>IF('data input for RPA'!L101="","",'data input for RPA'!L101)</f>
      </c>
      <c r="P100" s="113" t="str">
        <f t="shared" si="13"/>
        <v>N</v>
      </c>
      <c r="Q100" s="10" t="str">
        <f t="shared" si="14"/>
        <v>No detected value of B, Step 7</v>
      </c>
      <c r="R100" s="113">
        <f>'data input for RPA'!O101</f>
      </c>
      <c r="S100" s="152" t="str">
        <f t="shared" si="16"/>
        <v>No</v>
      </c>
      <c r="T100" s="153" t="str">
        <f t="shared" si="15"/>
        <v>Ud;MEC&lt;C &amp; B is ND</v>
      </c>
    </row>
    <row r="101" spans="1:20" ht="12.75">
      <c r="A101" s="7">
        <v>97</v>
      </c>
      <c r="B101" s="8" t="s">
        <v>112</v>
      </c>
      <c r="C101" s="101">
        <f>Criteria!C106</f>
        <v>1.4</v>
      </c>
      <c r="D101" s="113" t="str">
        <f>IF('data input for RPA'!C102="","",'data input for RPA'!C102)</f>
        <v>Y</v>
      </c>
      <c r="E101" s="113" t="str">
        <f>IF('data input for RPA'!D102="","",'data input for RPA'!D102)</f>
        <v>Y</v>
      </c>
      <c r="F101" s="113">
        <f>IF('data input for RPA'!E102="","",'data input for RPA'!E102)</f>
        <v>1</v>
      </c>
      <c r="G101" s="113">
        <f>IF('data input for RPA'!F102="","",'data input for RPA'!F102)</f>
      </c>
      <c r="H101" s="10" t="str">
        <f t="shared" si="12"/>
        <v>All ND, MDL&lt;C, MEC=MDL</v>
      </c>
      <c r="I101" s="114">
        <f t="shared" si="17"/>
        <v>1</v>
      </c>
      <c r="J101" s="10" t="str">
        <f t="shared" si="18"/>
        <v>MEC&lt;C, go to Step 5</v>
      </c>
      <c r="K101" s="114"/>
      <c r="L101" s="113" t="str">
        <f>IF('data input for RPA'!I102="","",'data input for RPA'!I102)</f>
        <v>Y</v>
      </c>
      <c r="M101" s="113" t="str">
        <f>IF('data input for RPA'!J102="","",'data input for RPA'!J102)</f>
        <v>Y</v>
      </c>
      <c r="N101" s="113">
        <f>IF('data input for RPA'!K102="","",'data input for RPA'!K102)</f>
        <v>1</v>
      </c>
      <c r="O101" s="113">
        <f>IF('data input for RPA'!L102="","",'data input for RPA'!L102)</f>
      </c>
      <c r="P101" s="113" t="str">
        <f t="shared" si="13"/>
        <v>N</v>
      </c>
      <c r="Q101" s="10" t="str">
        <f t="shared" si="14"/>
        <v>No detected value of B, Step 7</v>
      </c>
      <c r="R101" s="113">
        <f>'data input for RPA'!O102</f>
      </c>
      <c r="S101" s="152" t="str">
        <f t="shared" si="16"/>
        <v>No</v>
      </c>
      <c r="T101" s="153" t="str">
        <f t="shared" si="15"/>
        <v>Ud;MEC&lt;C &amp; B is ND</v>
      </c>
    </row>
    <row r="102" spans="1:20" ht="12.75">
      <c r="A102" s="7">
        <v>98</v>
      </c>
      <c r="B102" s="8" t="s">
        <v>113</v>
      </c>
      <c r="C102" s="99">
        <f>Criteria!C107</f>
        <v>16</v>
      </c>
      <c r="D102" s="113" t="str">
        <f>IF('data input for RPA'!C103="","",'data input for RPA'!C103)</f>
        <v>Y</v>
      </c>
      <c r="E102" s="113" t="str">
        <f>IF('data input for RPA'!D103="","",'data input for RPA'!D103)</f>
        <v>Y</v>
      </c>
      <c r="F102" s="113">
        <f>IF('data input for RPA'!E103="","",'data input for RPA'!E103)</f>
        <v>0.5</v>
      </c>
      <c r="G102" s="113">
        <f>IF('data input for RPA'!F103="","",'data input for RPA'!F103)</f>
      </c>
      <c r="H102" s="10" t="str">
        <f t="shared" si="12"/>
        <v>All ND, MDL&lt;C, MEC=MDL</v>
      </c>
      <c r="I102" s="114">
        <f t="shared" si="17"/>
        <v>0.5</v>
      </c>
      <c r="J102" s="10" t="str">
        <f t="shared" si="18"/>
        <v>MEC&lt;C, go to Step 5</v>
      </c>
      <c r="K102" s="114"/>
      <c r="L102" s="113" t="str">
        <f>IF('data input for RPA'!I103="","",'data input for RPA'!I103)</f>
        <v>Y</v>
      </c>
      <c r="M102" s="113" t="str">
        <f>IF('data input for RPA'!J103="","",'data input for RPA'!J103)</f>
        <v>Y</v>
      </c>
      <c r="N102" s="113">
        <f>IF('data input for RPA'!K103="","",'data input for RPA'!K103)</f>
        <v>0.5</v>
      </c>
      <c r="O102" s="113">
        <f>IF('data input for RPA'!L103="","",'data input for RPA'!L103)</f>
      </c>
      <c r="P102" s="113" t="str">
        <f t="shared" si="13"/>
        <v>N</v>
      </c>
      <c r="Q102" s="10" t="str">
        <f t="shared" si="14"/>
        <v>No detected value of B, Step 7</v>
      </c>
      <c r="R102" s="113">
        <f>'data input for RPA'!O103</f>
      </c>
      <c r="S102" s="152" t="str">
        <f t="shared" si="16"/>
        <v>No</v>
      </c>
      <c r="T102" s="153" t="str">
        <f t="shared" si="15"/>
        <v>Ud;MEC&lt;C &amp; B is ND</v>
      </c>
    </row>
    <row r="103" spans="1:20" ht="12.75">
      <c r="A103" s="7">
        <v>99</v>
      </c>
      <c r="B103" s="8" t="s">
        <v>114</v>
      </c>
      <c r="C103" s="99" t="str">
        <f>Criteria!C108</f>
        <v>No Criteria</v>
      </c>
      <c r="D103" s="113" t="str">
        <f>IF('data input for RPA'!C104="","",'data input for RPA'!C104)</f>
        <v>Y</v>
      </c>
      <c r="E103" s="113" t="str">
        <f>IF('data input for RPA'!D104="","",'data input for RPA'!D104)</f>
        <v>Y</v>
      </c>
      <c r="F103" s="113">
        <f>IF('data input for RPA'!E104="","",'data input for RPA'!E104)</f>
        <v>1</v>
      </c>
      <c r="G103" s="113">
        <f>IF('data input for RPA'!F104="","",'data input for RPA'!F104)</f>
      </c>
      <c r="H103" s="10" t="str">
        <f t="shared" si="12"/>
        <v>No Criteria</v>
      </c>
      <c r="I103" s="114" t="str">
        <f t="shared" si="17"/>
        <v>No Criteria</v>
      </c>
      <c r="J103" s="10" t="str">
        <f t="shared" si="18"/>
        <v>No Criteria</v>
      </c>
      <c r="K103" s="114"/>
      <c r="L103" s="113" t="str">
        <f>IF('data input for RPA'!I104="","",'data input for RPA'!I104)</f>
        <v>Y</v>
      </c>
      <c r="M103" s="113" t="str">
        <f>IF('data input for RPA'!J104="","",'data input for RPA'!J104)</f>
        <v>Y</v>
      </c>
      <c r="N103" s="113">
        <f>IF('data input for RPA'!K104="","",'data input for RPA'!K104)</f>
        <v>1</v>
      </c>
      <c r="O103" s="113">
        <f>IF('data input for RPA'!L104="","",'data input for RPA'!L104)</f>
      </c>
      <c r="P103" s="113" t="str">
        <f t="shared" si="13"/>
        <v>N</v>
      </c>
      <c r="Q103" s="10" t="str">
        <f t="shared" si="14"/>
        <v>No Criteria</v>
      </c>
      <c r="R103" s="113" t="str">
        <f>'data input for RPA'!O104</f>
        <v>No Criteria</v>
      </c>
      <c r="S103" s="152" t="str">
        <f t="shared" si="16"/>
        <v>Uo</v>
      </c>
      <c r="T103" s="153" t="str">
        <f t="shared" si="15"/>
        <v>No Criteria</v>
      </c>
    </row>
    <row r="104" spans="1:20" ht="12.75">
      <c r="A104" s="7">
        <v>100</v>
      </c>
      <c r="B104" s="8" t="s">
        <v>115</v>
      </c>
      <c r="C104" s="99">
        <f>Criteria!C109</f>
        <v>11000</v>
      </c>
      <c r="D104" s="113" t="str">
        <f>IF('data input for RPA'!C105="","",'data input for RPA'!C105)</f>
        <v>Y</v>
      </c>
      <c r="E104" s="113" t="str">
        <f>IF('data input for RPA'!D105="","",'data input for RPA'!D105)</f>
        <v>Y</v>
      </c>
      <c r="F104" s="113">
        <f>IF('data input for RPA'!E105="","",'data input for RPA'!E105)</f>
        <v>1</v>
      </c>
      <c r="G104" s="113">
        <f>IF('data input for RPA'!F105="","",'data input for RPA'!F105)</f>
      </c>
      <c r="H104" s="10" t="str">
        <f t="shared" si="12"/>
        <v>All ND, MDL&lt;C, MEC=MDL</v>
      </c>
      <c r="I104" s="114">
        <f t="shared" si="17"/>
        <v>1</v>
      </c>
      <c r="J104" s="10" t="str">
        <f t="shared" si="18"/>
        <v>MEC&lt;C, go to Step 5</v>
      </c>
      <c r="K104" s="114"/>
      <c r="L104" s="113" t="str">
        <f>IF('data input for RPA'!I105="","",'data input for RPA'!I105)</f>
        <v>Y</v>
      </c>
      <c r="M104" s="113" t="str">
        <f>IF('data input for RPA'!J105="","",'data input for RPA'!J105)</f>
        <v>Y</v>
      </c>
      <c r="N104" s="113">
        <f>IF('data input for RPA'!K105="","",'data input for RPA'!K105)</f>
        <v>1</v>
      </c>
      <c r="O104" s="113">
        <f>IF('data input for RPA'!L105="","",'data input for RPA'!L105)</f>
      </c>
      <c r="P104" s="113" t="str">
        <f t="shared" si="13"/>
        <v>N</v>
      </c>
      <c r="Q104" s="10" t="str">
        <f t="shared" si="14"/>
        <v>No detected value of B, Step 7</v>
      </c>
      <c r="R104" s="113">
        <f>'data input for RPA'!O105</f>
      </c>
      <c r="S104" s="152" t="str">
        <f t="shared" si="16"/>
        <v>No</v>
      </c>
      <c r="T104" s="153" t="str">
        <f t="shared" si="15"/>
        <v>Ud;MEC&lt;C &amp; B is ND</v>
      </c>
    </row>
    <row r="105" spans="1:20" ht="12.75">
      <c r="A105" s="7">
        <v>101</v>
      </c>
      <c r="B105" s="8" t="s">
        <v>116</v>
      </c>
      <c r="C105" s="99" t="str">
        <f>Criteria!C110</f>
        <v>No Criteria</v>
      </c>
      <c r="D105" s="113" t="str">
        <f>IF('data input for RPA'!C106="","",'data input for RPA'!C106)</f>
        <v>Y</v>
      </c>
      <c r="E105" s="113" t="str">
        <f>IF('data input for RPA'!D106="","",'data input for RPA'!D106)</f>
        <v>Y</v>
      </c>
      <c r="F105" s="113">
        <f>IF('data input for RPA'!E106="","",'data input for RPA'!E106)</f>
        <v>1</v>
      </c>
      <c r="G105" s="113">
        <f>IF('data input for RPA'!F106="","",'data input for RPA'!F106)</f>
      </c>
      <c r="H105" s="10" t="str">
        <f t="shared" si="12"/>
        <v>No Criteria</v>
      </c>
      <c r="I105" s="114" t="str">
        <f t="shared" si="17"/>
        <v>No Criteria</v>
      </c>
      <c r="J105" s="10" t="str">
        <f t="shared" si="18"/>
        <v>No Criteria</v>
      </c>
      <c r="K105" s="114"/>
      <c r="L105" s="113" t="str">
        <f>IF('data input for RPA'!I106="","",'data input for RPA'!I106)</f>
        <v>Y</v>
      </c>
      <c r="M105" s="113" t="str">
        <f>IF('data input for RPA'!J106="","",'data input for RPA'!J106)</f>
        <v>Y</v>
      </c>
      <c r="N105" s="113">
        <f>IF('data input for RPA'!K106="","",'data input for RPA'!K106)</f>
        <v>1</v>
      </c>
      <c r="O105" s="113">
        <f>IF('data input for RPA'!L106="","",'data input for RPA'!L106)</f>
      </c>
      <c r="P105" s="113" t="str">
        <f t="shared" si="13"/>
        <v>N</v>
      </c>
      <c r="Q105" s="10" t="str">
        <f t="shared" si="14"/>
        <v>No Criteria</v>
      </c>
      <c r="R105" s="113" t="str">
        <f>'data input for RPA'!O106</f>
        <v>No Criteria</v>
      </c>
      <c r="S105" s="152" t="str">
        <f t="shared" si="16"/>
        <v>Uo</v>
      </c>
      <c r="T105" s="153" t="str">
        <f t="shared" si="15"/>
        <v>No Criteria</v>
      </c>
    </row>
    <row r="106" spans="1:20" ht="12.75">
      <c r="A106" s="7">
        <v>102</v>
      </c>
      <c r="B106" s="8" t="s">
        <v>117</v>
      </c>
      <c r="C106" s="105">
        <f>Criteria!C111</f>
        <v>0.00014</v>
      </c>
      <c r="D106" s="113" t="str">
        <f>IF('data input for RPA'!C107="","",'data input for RPA'!C107)</f>
        <v>Y</v>
      </c>
      <c r="E106" s="113" t="str">
        <f>IF('data input for RPA'!D107="","",'data input for RPA'!D107)</f>
        <v>Y</v>
      </c>
      <c r="F106" s="113">
        <f>IF('data input for RPA'!E107="","",'data input for RPA'!E107)</f>
        <v>0.002</v>
      </c>
      <c r="G106" s="113">
        <f>IF('data input for RPA'!F107="","",'data input for RPA'!F107)</f>
      </c>
      <c r="H106" s="10" t="str">
        <f t="shared" si="12"/>
        <v>All ND, MinDL&gt;C, Go to Step 5, &amp; IM</v>
      </c>
      <c r="I106" s="114">
        <f t="shared" si="17"/>
      </c>
      <c r="J106" s="10">
        <f t="shared" si="18"/>
      </c>
      <c r="K106" s="114"/>
      <c r="L106" s="113" t="str">
        <f>IF('data input for RPA'!I107="","",'data input for RPA'!I107)</f>
        <v>Y</v>
      </c>
      <c r="M106" s="113" t="str">
        <f>IF('data input for RPA'!J107="","",'data input for RPA'!J107)</f>
        <v>Y</v>
      </c>
      <c r="N106" s="113">
        <f>IF('data input for RPA'!K107="","",'data input for RPA'!K107)</f>
        <v>0.002</v>
      </c>
      <c r="O106" s="113">
        <f>IF('data input for RPA'!L107="","",'data input for RPA'!L107)</f>
      </c>
      <c r="P106" s="113" t="str">
        <f t="shared" si="13"/>
        <v>Y</v>
      </c>
      <c r="Q106" s="10" t="str">
        <f t="shared" si="14"/>
        <v>No detected value of B, Step 7</v>
      </c>
      <c r="R106" s="113">
        <f>'data input for RPA'!O107</f>
      </c>
      <c r="S106" s="152" t="str">
        <f t="shared" si="16"/>
        <v>No</v>
      </c>
      <c r="T106" s="153" t="str">
        <f t="shared" si="15"/>
        <v>UD; effluent data and B are ND</v>
      </c>
    </row>
    <row r="107" spans="1:20" ht="12.75">
      <c r="A107" s="7">
        <v>103</v>
      </c>
      <c r="B107" s="8" t="s">
        <v>118</v>
      </c>
      <c r="C107" s="102">
        <f>Criteria!C112</f>
        <v>0.013</v>
      </c>
      <c r="D107" s="113" t="str">
        <f>IF('data input for RPA'!C108="","",'data input for RPA'!C108)</f>
        <v>Y</v>
      </c>
      <c r="E107" s="113" t="str">
        <f>IF('data input for RPA'!D108="","",'data input for RPA'!D108)</f>
        <v>Y</v>
      </c>
      <c r="F107" s="113">
        <f>IF('data input for RPA'!E108="","",'data input for RPA'!E108)</f>
        <v>0.005</v>
      </c>
      <c r="G107" s="113">
        <f>IF('data input for RPA'!F108="","",'data input for RPA'!F108)</f>
      </c>
      <c r="H107" s="10" t="str">
        <f t="shared" si="12"/>
        <v>All ND, MDL&lt;C, MEC=MDL</v>
      </c>
      <c r="I107" s="114">
        <f t="shared" si="17"/>
        <v>0.005</v>
      </c>
      <c r="J107" s="10" t="str">
        <f t="shared" si="18"/>
        <v>MEC&lt;C, go to Step 5</v>
      </c>
      <c r="K107" s="114"/>
      <c r="L107" s="113" t="str">
        <f>IF('data input for RPA'!I108="","",'data input for RPA'!I108)</f>
        <v>Y</v>
      </c>
      <c r="M107" s="113" t="str">
        <f>IF('data input for RPA'!J108="","",'data input for RPA'!J108)</f>
        <v>Y</v>
      </c>
      <c r="N107" s="113">
        <f>IF('data input for RPA'!K108="","",'data input for RPA'!K108)</f>
        <v>0.005</v>
      </c>
      <c r="O107" s="113">
        <f>IF('data input for RPA'!L108="","",'data input for RPA'!L108)</f>
      </c>
      <c r="P107" s="113" t="str">
        <f t="shared" si="13"/>
        <v>N</v>
      </c>
      <c r="Q107" s="10" t="str">
        <f t="shared" si="14"/>
        <v>No detected value of B, Step 7</v>
      </c>
      <c r="R107" s="113">
        <f>'data input for RPA'!O108</f>
      </c>
      <c r="S107" s="152" t="str">
        <f t="shared" si="16"/>
        <v>No</v>
      </c>
      <c r="T107" s="153" t="str">
        <f t="shared" si="15"/>
        <v>Ud;MEC&lt;C &amp; B is ND</v>
      </c>
    </row>
    <row r="108" spans="1:20" ht="12.75">
      <c r="A108" s="7">
        <v>104</v>
      </c>
      <c r="B108" s="8" t="s">
        <v>119</v>
      </c>
      <c r="C108" s="102">
        <f>Criteria!C113</f>
        <v>0.046</v>
      </c>
      <c r="D108" s="113" t="str">
        <f>IF('data input for RPA'!C109="","",'data input for RPA'!C109)</f>
        <v>Y</v>
      </c>
      <c r="E108" s="113" t="str">
        <f>IF('data input for RPA'!D109="","",'data input for RPA'!D109)</f>
        <v>Y</v>
      </c>
      <c r="F108" s="113">
        <f>IF('data input for RPA'!E109="","",'data input for RPA'!E109)</f>
        <v>0.002</v>
      </c>
      <c r="G108" s="113">
        <f>IF('data input for RPA'!F109="","",'data input for RPA'!F109)</f>
      </c>
      <c r="H108" s="10" t="str">
        <f t="shared" si="12"/>
        <v>All ND, MDL&lt;C, MEC=MDL</v>
      </c>
      <c r="I108" s="114">
        <f t="shared" si="17"/>
        <v>0.002</v>
      </c>
      <c r="J108" s="10" t="str">
        <f t="shared" si="18"/>
        <v>MEC&lt;C, go to Step 5</v>
      </c>
      <c r="K108" s="114"/>
      <c r="L108" s="113" t="str">
        <f>IF('data input for RPA'!I109="","",'data input for RPA'!I109)</f>
        <v>Y</v>
      </c>
      <c r="M108" s="113" t="str">
        <f>IF('data input for RPA'!J109="","",'data input for RPA'!J109)</f>
        <v>Y</v>
      </c>
      <c r="N108" s="113">
        <f>IF('data input for RPA'!K109="","",'data input for RPA'!K109)</f>
        <v>0.002</v>
      </c>
      <c r="O108" s="113">
        <f>IF('data input for RPA'!L109="","",'data input for RPA'!L109)</f>
      </c>
      <c r="P108" s="113" t="str">
        <f t="shared" si="13"/>
        <v>N</v>
      </c>
      <c r="Q108" s="10" t="str">
        <f t="shared" si="14"/>
        <v>No detected value of B, Step 7</v>
      </c>
      <c r="R108" s="113">
        <f>'data input for RPA'!O109</f>
      </c>
      <c r="S108" s="152" t="str">
        <f t="shared" si="16"/>
        <v>No</v>
      </c>
      <c r="T108" s="153" t="str">
        <f t="shared" si="15"/>
        <v>Ud;MEC&lt;C &amp; B is ND</v>
      </c>
    </row>
    <row r="109" spans="1:20" ht="12.75">
      <c r="A109" s="7">
        <v>105</v>
      </c>
      <c r="B109" s="8" t="s">
        <v>120</v>
      </c>
      <c r="C109" s="102">
        <f>Criteria!C114</f>
        <v>0.063</v>
      </c>
      <c r="D109" s="113" t="str">
        <f>IF('data input for RPA'!C110="","",'data input for RPA'!C110)</f>
        <v>Y</v>
      </c>
      <c r="E109" s="113" t="str">
        <f>IF('data input for RPA'!D110="","",'data input for RPA'!D110)</f>
        <v>Y</v>
      </c>
      <c r="F109" s="113">
        <f>IF('data input for RPA'!E110="","",'data input for RPA'!E110)</f>
        <v>0.005</v>
      </c>
      <c r="G109" s="113">
        <f>IF('data input for RPA'!F110="","",'data input for RPA'!F110)</f>
      </c>
      <c r="H109" s="10" t="str">
        <f t="shared" si="12"/>
        <v>All ND, MDL&lt;C, MEC=MDL</v>
      </c>
      <c r="I109" s="114">
        <f t="shared" si="17"/>
        <v>0.005</v>
      </c>
      <c r="J109" s="10" t="str">
        <f t="shared" si="18"/>
        <v>MEC&lt;C, go to Step 5</v>
      </c>
      <c r="K109" s="114"/>
      <c r="L109" s="113" t="str">
        <f>IF('data input for RPA'!I110="","",'data input for RPA'!I110)</f>
        <v>Y</v>
      </c>
      <c r="M109" s="113" t="str">
        <f>IF('data input for RPA'!J110="","",'data input for RPA'!J110)</f>
        <v>Y</v>
      </c>
      <c r="N109" s="113">
        <f>IF('data input for RPA'!K110="","",'data input for RPA'!K110)</f>
        <v>0.005</v>
      </c>
      <c r="O109" s="113">
        <f>IF('data input for RPA'!L110="","",'data input for RPA'!L110)</f>
      </c>
      <c r="P109" s="113" t="str">
        <f t="shared" si="13"/>
        <v>N</v>
      </c>
      <c r="Q109" s="10" t="str">
        <f t="shared" si="14"/>
        <v>No detected value of B, Step 7</v>
      </c>
      <c r="R109" s="113">
        <f>'data input for RPA'!O110</f>
      </c>
      <c r="S109" s="152" t="str">
        <f t="shared" si="16"/>
        <v>No</v>
      </c>
      <c r="T109" s="153" t="str">
        <f t="shared" si="15"/>
        <v>Ud;MEC&lt;C &amp; B is ND</v>
      </c>
    </row>
    <row r="110" spans="1:20" ht="12.75">
      <c r="A110" s="7">
        <v>106</v>
      </c>
      <c r="B110" s="8" t="s">
        <v>121</v>
      </c>
      <c r="C110" s="99" t="str">
        <f>Criteria!C115</f>
        <v>No Criteria</v>
      </c>
      <c r="D110" s="113" t="str">
        <f>IF('data input for RPA'!C111="","",'data input for RPA'!C111)</f>
        <v>Y</v>
      </c>
      <c r="E110" s="113" t="str">
        <f>IF('data input for RPA'!D111="","",'data input for RPA'!D111)</f>
        <v>Y</v>
      </c>
      <c r="F110" s="113">
        <f>IF('data input for RPA'!E111="","",'data input for RPA'!E111)</f>
        <v>0.002</v>
      </c>
      <c r="G110" s="113">
        <f>IF('data input for RPA'!F111="","",'data input for RPA'!F111)</f>
      </c>
      <c r="H110" s="10" t="str">
        <f t="shared" si="12"/>
        <v>No Criteria</v>
      </c>
      <c r="I110" s="114" t="str">
        <f t="shared" si="17"/>
        <v>No Criteria</v>
      </c>
      <c r="J110" s="10" t="str">
        <f t="shared" si="18"/>
        <v>No Criteria</v>
      </c>
      <c r="K110" s="114"/>
      <c r="L110" s="113" t="str">
        <f>IF('data input for RPA'!I111="","",'data input for RPA'!I111)</f>
        <v>Y</v>
      </c>
      <c r="M110" s="113" t="str">
        <f>IF('data input for RPA'!J111="","",'data input for RPA'!J111)</f>
        <v>Y</v>
      </c>
      <c r="N110" s="113">
        <f>IF('data input for RPA'!K111="","",'data input for RPA'!K111)</f>
        <v>0.002</v>
      </c>
      <c r="O110" s="113">
        <f>IF('data input for RPA'!L111="","",'data input for RPA'!L111)</f>
      </c>
      <c r="P110" s="113" t="str">
        <f t="shared" si="13"/>
        <v>N</v>
      </c>
      <c r="Q110" s="10" t="str">
        <f t="shared" si="14"/>
        <v>No Criteria</v>
      </c>
      <c r="R110" s="113" t="str">
        <f>'data input for RPA'!O111</f>
        <v>No Criteria</v>
      </c>
      <c r="S110" s="152" t="str">
        <f t="shared" si="16"/>
        <v>Uo</v>
      </c>
      <c r="T110" s="153" t="str">
        <f t="shared" si="15"/>
        <v>No Criteria</v>
      </c>
    </row>
    <row r="111" spans="1:20" ht="12.75">
      <c r="A111" s="13">
        <v>107</v>
      </c>
      <c r="B111" s="14" t="s">
        <v>122</v>
      </c>
      <c r="C111" s="105">
        <f>Criteria!C116</f>
        <v>0.00059</v>
      </c>
      <c r="D111" s="113" t="str">
        <f>IF('data input for RPA'!C112="","",'data input for RPA'!C112)</f>
        <v>Y</v>
      </c>
      <c r="E111" s="113" t="str">
        <f>IF('data input for RPA'!D112="","",'data input for RPA'!D112)</f>
        <v>Y</v>
      </c>
      <c r="F111" s="113">
        <f>IF('data input for RPA'!E112="","",'data input for RPA'!E112)</f>
        <v>0.01</v>
      </c>
      <c r="G111" s="113">
        <f>IF('data input for RPA'!F112="","",'data input for RPA'!F112)</f>
      </c>
      <c r="H111" s="10" t="str">
        <f t="shared" si="12"/>
        <v>All ND, MinDL&gt;C, Go to Step 5, &amp; IM</v>
      </c>
      <c r="I111" s="114">
        <f t="shared" si="17"/>
      </c>
      <c r="J111" s="10">
        <f t="shared" si="18"/>
      </c>
      <c r="K111" s="114"/>
      <c r="L111" s="113" t="str">
        <f>IF('data input for RPA'!I112="","",'data input for RPA'!I112)</f>
        <v>Y</v>
      </c>
      <c r="M111" s="113" t="str">
        <f>IF('data input for RPA'!J112="","",'data input for RPA'!J112)</f>
        <v>Y</v>
      </c>
      <c r="N111" s="113">
        <f>IF('data input for RPA'!K112="","",'data input for RPA'!K112)</f>
        <v>0.01</v>
      </c>
      <c r="O111" s="113">
        <f>IF('data input for RPA'!L112="","",'data input for RPA'!L112)</f>
      </c>
      <c r="P111" s="113" t="str">
        <f t="shared" si="13"/>
        <v>Y</v>
      </c>
      <c r="Q111" s="10" t="str">
        <f t="shared" si="14"/>
        <v>No detected value of B, Step 7</v>
      </c>
      <c r="R111" s="113">
        <f>'data input for RPA'!O112</f>
      </c>
      <c r="S111" s="152" t="str">
        <f t="shared" si="16"/>
        <v>No</v>
      </c>
      <c r="T111" s="153" t="str">
        <f t="shared" si="15"/>
        <v>UD; effluent data and B are ND</v>
      </c>
    </row>
    <row r="112" spans="1:20" ht="12.75">
      <c r="A112" s="13">
        <v>108</v>
      </c>
      <c r="B112" s="14" t="s">
        <v>123</v>
      </c>
      <c r="C112" s="105">
        <f>Criteria!C117</f>
        <v>0.00059</v>
      </c>
      <c r="D112" s="113" t="str">
        <f>IF('data input for RPA'!C113="","",'data input for RPA'!C113)</f>
        <v>Y</v>
      </c>
      <c r="E112" s="113" t="str">
        <f>IF('data input for RPA'!D113="","",'data input for RPA'!D113)</f>
        <v>Y</v>
      </c>
      <c r="F112" s="113">
        <f>IF('data input for RPA'!E113="","",'data input for RPA'!E113)</f>
        <v>0.005</v>
      </c>
      <c r="G112" s="113">
        <f>IF('data input for RPA'!F113="","",'data input for RPA'!F113)</f>
      </c>
      <c r="H112" s="10" t="str">
        <f t="shared" si="12"/>
        <v>All ND, MinDL&gt;C, Go to Step 5, &amp; IM</v>
      </c>
      <c r="I112" s="114">
        <f t="shared" si="17"/>
      </c>
      <c r="J112" s="10">
        <f t="shared" si="18"/>
      </c>
      <c r="K112" s="114"/>
      <c r="L112" s="113" t="str">
        <f>IF('data input for RPA'!I113="","",'data input for RPA'!I113)</f>
        <v>Y</v>
      </c>
      <c r="M112" s="113" t="str">
        <f>IF('data input for RPA'!J113="","",'data input for RPA'!J113)</f>
        <v>Y</v>
      </c>
      <c r="N112" s="113">
        <f>IF('data input for RPA'!K113="","",'data input for RPA'!K113)</f>
        <v>0.005</v>
      </c>
      <c r="O112" s="113">
        <f>IF('data input for RPA'!L113="","",'data input for RPA'!L113)</f>
      </c>
      <c r="P112" s="113" t="str">
        <f t="shared" si="13"/>
        <v>Y</v>
      </c>
      <c r="Q112" s="10" t="str">
        <f t="shared" si="14"/>
        <v>No detected value of B, Step 7</v>
      </c>
      <c r="R112" s="113">
        <f>'data input for RPA'!O113</f>
      </c>
      <c r="S112" s="152" t="str">
        <f t="shared" si="16"/>
        <v>No</v>
      </c>
      <c r="T112" s="153" t="str">
        <f t="shared" si="15"/>
        <v>UD; effluent data and B are ND</v>
      </c>
    </row>
    <row r="113" spans="1:20" ht="12.75">
      <c r="A113" s="7">
        <v>109</v>
      </c>
      <c r="B113" s="11" t="s">
        <v>124</v>
      </c>
      <c r="C113" s="105">
        <f>Criteria!C118</f>
        <v>0.00059</v>
      </c>
      <c r="D113" s="113" t="str">
        <f>IF('data input for RPA'!C114="","",'data input for RPA'!C114)</f>
        <v>Y</v>
      </c>
      <c r="E113" s="113" t="str">
        <f>IF('data input for RPA'!D114="","",'data input for RPA'!D114)</f>
        <v>Y</v>
      </c>
      <c r="F113" s="113">
        <f>IF('data input for RPA'!E114="","",'data input for RPA'!E114)</f>
        <v>0.005</v>
      </c>
      <c r="G113" s="113">
        <f>IF('data input for RPA'!F114="","",'data input for RPA'!F114)</f>
      </c>
      <c r="H113" s="10" t="str">
        <f t="shared" si="12"/>
        <v>All ND, MinDL&gt;C, Go to Step 5, &amp; IM</v>
      </c>
      <c r="I113" s="114">
        <f t="shared" si="17"/>
      </c>
      <c r="J113" s="10">
        <f t="shared" si="18"/>
      </c>
      <c r="K113" s="114"/>
      <c r="L113" s="113" t="str">
        <f>IF('data input for RPA'!I114="","",'data input for RPA'!I114)</f>
        <v>Y</v>
      </c>
      <c r="M113" s="113" t="str">
        <f>IF('data input for RPA'!J114="","",'data input for RPA'!J114)</f>
        <v>Y</v>
      </c>
      <c r="N113" s="113">
        <f>IF('data input for RPA'!K114="","",'data input for RPA'!K114)</f>
        <v>0.005</v>
      </c>
      <c r="O113" s="113">
        <f>IF('data input for RPA'!L114="","",'data input for RPA'!L114)</f>
      </c>
      <c r="P113" s="113" t="str">
        <f t="shared" si="13"/>
        <v>Y</v>
      </c>
      <c r="Q113" s="10" t="str">
        <f t="shared" si="14"/>
        <v>No detected value of B, Step 7</v>
      </c>
      <c r="R113" s="113">
        <f>'data input for RPA'!O114</f>
      </c>
      <c r="S113" s="152" t="str">
        <f t="shared" si="16"/>
        <v>No</v>
      </c>
      <c r="T113" s="153" t="str">
        <f t="shared" si="15"/>
        <v>UD; effluent data and B are ND</v>
      </c>
    </row>
    <row r="114" spans="1:20" ht="12.75">
      <c r="A114" s="7">
        <v>110</v>
      </c>
      <c r="B114" s="8" t="s">
        <v>125</v>
      </c>
      <c r="C114" s="105">
        <f>Criteria!C119</f>
        <v>0.00084</v>
      </c>
      <c r="D114" s="113" t="str">
        <f>IF('data input for RPA'!C115="","",'data input for RPA'!C115)</f>
        <v>Y</v>
      </c>
      <c r="E114" s="113" t="str">
        <f>IF('data input for RPA'!D115="","",'data input for RPA'!D115)</f>
        <v>Y</v>
      </c>
      <c r="F114" s="113">
        <f>IF('data input for RPA'!E115="","",'data input for RPA'!E115)</f>
        <v>0.01</v>
      </c>
      <c r="G114" s="113">
        <f>IF('data input for RPA'!F115="","",'data input for RPA'!F115)</f>
      </c>
      <c r="H114" s="10" t="str">
        <f t="shared" si="12"/>
        <v>All ND, MinDL&gt;C, Go to Step 5, &amp; IM</v>
      </c>
      <c r="I114" s="114">
        <f t="shared" si="17"/>
      </c>
      <c r="J114" s="10">
        <f t="shared" si="18"/>
      </c>
      <c r="K114" s="114"/>
      <c r="L114" s="113" t="str">
        <f>IF('data input for RPA'!I115="","",'data input for RPA'!I115)</f>
        <v>Y</v>
      </c>
      <c r="M114" s="113" t="str">
        <f>IF('data input for RPA'!J115="","",'data input for RPA'!J115)</f>
        <v>Y</v>
      </c>
      <c r="N114" s="113">
        <f>IF('data input for RPA'!K115="","",'data input for RPA'!K115)</f>
        <v>0.01</v>
      </c>
      <c r="O114" s="113">
        <f>IF('data input for RPA'!L115="","",'data input for RPA'!L115)</f>
      </c>
      <c r="P114" s="113" t="str">
        <f t="shared" si="13"/>
        <v>Y</v>
      </c>
      <c r="Q114" s="10" t="str">
        <f t="shared" si="14"/>
        <v>No detected value of B, Step 7</v>
      </c>
      <c r="R114" s="113">
        <f>'data input for RPA'!O115</f>
      </c>
      <c r="S114" s="152" t="str">
        <f t="shared" si="16"/>
        <v>No</v>
      </c>
      <c r="T114" s="153" t="str">
        <f t="shared" si="15"/>
        <v>UD; effluent data and B are ND</v>
      </c>
    </row>
    <row r="115" spans="1:20" ht="12.75">
      <c r="A115" s="7">
        <v>111</v>
      </c>
      <c r="B115" s="32" t="s">
        <v>126</v>
      </c>
      <c r="C115" s="105">
        <f>Criteria!C120</f>
        <v>0.00014</v>
      </c>
      <c r="D115" s="113" t="str">
        <f>IF('data input for RPA'!C116="","",'data input for RPA'!C116)</f>
        <v>Y</v>
      </c>
      <c r="E115" s="113" t="str">
        <f>IF('data input for RPA'!D116="","",'data input for RPA'!D116)</f>
        <v>Y</v>
      </c>
      <c r="F115" s="113">
        <f>IF('data input for RPA'!E116="","",'data input for RPA'!E116)</f>
        <v>0.005</v>
      </c>
      <c r="G115" s="113">
        <f>IF('data input for RPA'!F116="","",'data input for RPA'!F116)</f>
      </c>
      <c r="H115" s="10" t="str">
        <f t="shared" si="12"/>
        <v>All ND, MinDL&gt;C, Go to Step 5, &amp; IM</v>
      </c>
      <c r="I115" s="114">
        <f t="shared" si="17"/>
      </c>
      <c r="J115" s="10">
        <f t="shared" si="18"/>
      </c>
      <c r="K115" s="114"/>
      <c r="L115" s="113" t="str">
        <f>IF('data input for RPA'!I116="","",'data input for RPA'!I116)</f>
        <v>Y</v>
      </c>
      <c r="M115" s="113" t="str">
        <f>IF('data input for RPA'!J116="","",'data input for RPA'!J116)</f>
        <v>Y</v>
      </c>
      <c r="N115" s="113">
        <f>IF('data input for RPA'!K116="","",'data input for RPA'!K116)</f>
        <v>0.005</v>
      </c>
      <c r="O115" s="113">
        <f>IF('data input for RPA'!L116="","",'data input for RPA'!L116)</f>
      </c>
      <c r="P115" s="113" t="str">
        <f t="shared" si="13"/>
        <v>Y</v>
      </c>
      <c r="Q115" s="10" t="str">
        <f t="shared" si="14"/>
        <v>No detected value of B, Step 7</v>
      </c>
      <c r="R115" s="113">
        <f>'data input for RPA'!O116</f>
      </c>
      <c r="S115" s="152" t="str">
        <f t="shared" si="16"/>
        <v>No</v>
      </c>
      <c r="T115" s="153" t="str">
        <f t="shared" si="15"/>
        <v>UD; effluent data and B are ND</v>
      </c>
    </row>
    <row r="116" spans="1:20" ht="12.75">
      <c r="A116" s="7">
        <v>112</v>
      </c>
      <c r="B116" s="8" t="s">
        <v>127</v>
      </c>
      <c r="C116" s="106">
        <f>Criteria!C121</f>
        <v>0.0087</v>
      </c>
      <c r="D116" s="113" t="str">
        <f>IF('data input for RPA'!C117="","",'data input for RPA'!C117)</f>
        <v>Y</v>
      </c>
      <c r="E116" s="113" t="str">
        <f>IF('data input for RPA'!D117="","",'data input for RPA'!D117)</f>
        <v>Y</v>
      </c>
      <c r="F116" s="113">
        <f>IF('data input for RPA'!E117="","",'data input for RPA'!E117)</f>
        <v>0.005</v>
      </c>
      <c r="G116" s="113">
        <f>IF('data input for RPA'!F117="","",'data input for RPA'!F117)</f>
      </c>
      <c r="H116" s="10" t="str">
        <f t="shared" si="12"/>
        <v>All ND, MDL&lt;C, MEC=MDL</v>
      </c>
      <c r="I116" s="114">
        <f t="shared" si="17"/>
        <v>0.005</v>
      </c>
      <c r="J116" s="10" t="str">
        <f t="shared" si="18"/>
        <v>MEC&lt;C, go to Step 5</v>
      </c>
      <c r="K116" s="114"/>
      <c r="L116" s="113" t="str">
        <f>IF('data input for RPA'!I117="","",'data input for RPA'!I117)</f>
        <v>Y</v>
      </c>
      <c r="M116" s="113" t="str">
        <f>IF('data input for RPA'!J117="","",'data input for RPA'!J117)</f>
        <v>Y</v>
      </c>
      <c r="N116" s="113">
        <f>IF('data input for RPA'!K117="","",'data input for RPA'!K117)</f>
        <v>0.005</v>
      </c>
      <c r="O116" s="113">
        <f>IF('data input for RPA'!L117="","",'data input for RPA'!L117)</f>
      </c>
      <c r="P116" s="113" t="str">
        <f t="shared" si="13"/>
        <v>N</v>
      </c>
      <c r="Q116" s="10" t="str">
        <f t="shared" si="14"/>
        <v>No detected value of B, Step 7</v>
      </c>
      <c r="R116" s="113">
        <f>'data input for RPA'!O117</f>
      </c>
      <c r="S116" s="152" t="str">
        <f t="shared" si="16"/>
        <v>No</v>
      </c>
      <c r="T116" s="153" t="str">
        <f t="shared" si="15"/>
        <v>Ud;MEC&lt;C &amp; B is ND</v>
      </c>
    </row>
    <row r="117" spans="1:20" ht="12.75">
      <c r="A117" s="7">
        <v>113</v>
      </c>
      <c r="B117" s="8" t="s">
        <v>128</v>
      </c>
      <c r="C117" s="106">
        <f>Criteria!C122</f>
        <v>0.0087</v>
      </c>
      <c r="D117" s="113" t="str">
        <f>IF('data input for RPA'!C118="","",'data input for RPA'!C118)</f>
        <v>Y</v>
      </c>
      <c r="E117" s="113" t="str">
        <f>IF('data input for RPA'!D118="","",'data input for RPA'!D118)</f>
        <v>Y</v>
      </c>
      <c r="F117" s="113">
        <f>IF('data input for RPA'!E118="","",'data input for RPA'!E118)</f>
        <v>0.005</v>
      </c>
      <c r="G117" s="113">
        <f>IF('data input for RPA'!F118="","",'data input for RPA'!F118)</f>
      </c>
      <c r="H117" s="10" t="str">
        <f t="shared" si="12"/>
        <v>All ND, MDL&lt;C, MEC=MDL</v>
      </c>
      <c r="I117" s="114">
        <f t="shared" si="17"/>
        <v>0.005</v>
      </c>
      <c r="J117" s="10" t="str">
        <f t="shared" si="18"/>
        <v>MEC&lt;C, go to Step 5</v>
      </c>
      <c r="K117" s="114"/>
      <c r="L117" s="113" t="str">
        <f>IF('data input for RPA'!I118="","",'data input for RPA'!I118)</f>
        <v>Y</v>
      </c>
      <c r="M117" s="113" t="str">
        <f>IF('data input for RPA'!J118="","",'data input for RPA'!J118)</f>
        <v>Y</v>
      </c>
      <c r="N117" s="113">
        <f>IF('data input for RPA'!K118="","",'data input for RPA'!K118)</f>
        <v>0.005</v>
      </c>
      <c r="O117" s="113">
        <f>IF('data input for RPA'!L118="","",'data input for RPA'!L118)</f>
      </c>
      <c r="P117" s="113" t="str">
        <f t="shared" si="13"/>
        <v>N</v>
      </c>
      <c r="Q117" s="10" t="str">
        <f t="shared" si="14"/>
        <v>No detected value of B, Step 7</v>
      </c>
      <c r="R117" s="113">
        <f>'data input for RPA'!O118</f>
      </c>
      <c r="S117" s="152" t="str">
        <f t="shared" si="16"/>
        <v>No</v>
      </c>
      <c r="T117" s="153" t="str">
        <f t="shared" si="15"/>
        <v>Ud;MEC&lt;C &amp; B is ND</v>
      </c>
    </row>
    <row r="118" spans="1:20" ht="12.75">
      <c r="A118" s="7">
        <v>114</v>
      </c>
      <c r="B118" s="8" t="s">
        <v>129</v>
      </c>
      <c r="C118" s="99">
        <f>Criteria!C123</f>
        <v>240</v>
      </c>
      <c r="D118" s="113" t="str">
        <f>IF('data input for RPA'!C119="","",'data input for RPA'!C119)</f>
        <v>Y</v>
      </c>
      <c r="E118" s="113" t="str">
        <f>IF('data input for RPA'!D119="","",'data input for RPA'!D119)</f>
        <v>Y</v>
      </c>
      <c r="F118" s="113">
        <f>IF('data input for RPA'!E119="","",'data input for RPA'!E119)</f>
        <v>0.01</v>
      </c>
      <c r="G118" s="113">
        <f>IF('data input for RPA'!F119="","",'data input for RPA'!F119)</f>
      </c>
      <c r="H118" s="10" t="str">
        <f t="shared" si="12"/>
        <v>All ND, MDL&lt;C, MEC=MDL</v>
      </c>
      <c r="I118" s="114">
        <f t="shared" si="17"/>
        <v>0.01</v>
      </c>
      <c r="J118" s="10" t="str">
        <f t="shared" si="18"/>
        <v>MEC&lt;C, go to Step 5</v>
      </c>
      <c r="K118" s="114"/>
      <c r="L118" s="113" t="str">
        <f>IF('data input for RPA'!I119="","",'data input for RPA'!I119)</f>
        <v>Y</v>
      </c>
      <c r="M118" s="113" t="str">
        <f>IF('data input for RPA'!J119="","",'data input for RPA'!J119)</f>
        <v>Y</v>
      </c>
      <c r="N118" s="113">
        <f>IF('data input for RPA'!K119="","",'data input for RPA'!K119)</f>
        <v>0.01</v>
      </c>
      <c r="O118" s="113">
        <f>IF('data input for RPA'!L119="","",'data input for RPA'!L119)</f>
      </c>
      <c r="P118" s="113" t="str">
        <f t="shared" si="13"/>
        <v>N</v>
      </c>
      <c r="Q118" s="10" t="str">
        <f t="shared" si="14"/>
        <v>No detected value of B, Step 7</v>
      </c>
      <c r="R118" s="113">
        <f>'data input for RPA'!O119</f>
      </c>
      <c r="S118" s="152" t="str">
        <f t="shared" si="16"/>
        <v>No</v>
      </c>
      <c r="T118" s="153" t="str">
        <f t="shared" si="15"/>
        <v>Ud;MEC&lt;C &amp; B is ND</v>
      </c>
    </row>
    <row r="119" spans="1:20" ht="12.75">
      <c r="A119" s="7">
        <v>115</v>
      </c>
      <c r="B119" s="8" t="s">
        <v>130</v>
      </c>
      <c r="C119" s="106">
        <f>Criteria!C124</f>
        <v>0.0023</v>
      </c>
      <c r="D119" s="113" t="str">
        <f>IF('data input for RPA'!C120="","",'data input for RPA'!C120)</f>
        <v>Y</v>
      </c>
      <c r="E119" s="113" t="str">
        <f>IF('data input for RPA'!D120="","",'data input for RPA'!D120)</f>
        <v>Y</v>
      </c>
      <c r="F119" s="113">
        <f>IF('data input for RPA'!E120="","",'data input for RPA'!E120)</f>
        <v>0.005</v>
      </c>
      <c r="G119" s="113">
        <f>IF('data input for RPA'!F120="","",'data input for RPA'!F120)</f>
      </c>
      <c r="H119" s="10" t="str">
        <f t="shared" si="12"/>
        <v>All ND, MinDL&gt;C, Go to Step 5, &amp; IM</v>
      </c>
      <c r="I119" s="114">
        <f t="shared" si="17"/>
      </c>
      <c r="J119" s="10">
        <f t="shared" si="18"/>
      </c>
      <c r="K119" s="114"/>
      <c r="L119" s="113" t="str">
        <f>IF('data input for RPA'!I120="","",'data input for RPA'!I120)</f>
        <v>Y</v>
      </c>
      <c r="M119" s="113" t="str">
        <f>IF('data input for RPA'!J120="","",'data input for RPA'!J120)</f>
        <v>Y</v>
      </c>
      <c r="N119" s="113">
        <f>IF('data input for RPA'!K120="","",'data input for RPA'!K120)</f>
        <v>0.005</v>
      </c>
      <c r="O119" s="113">
        <f>IF('data input for RPA'!L120="","",'data input for RPA'!L120)</f>
      </c>
      <c r="P119" s="113" t="str">
        <f t="shared" si="13"/>
        <v>Y</v>
      </c>
      <c r="Q119" s="10" t="str">
        <f t="shared" si="14"/>
        <v>No detected value of B, Step 7</v>
      </c>
      <c r="R119" s="113">
        <f>'data input for RPA'!O120</f>
      </c>
      <c r="S119" s="152" t="str">
        <f t="shared" si="16"/>
        <v>No</v>
      </c>
      <c r="T119" s="153" t="str">
        <f t="shared" si="15"/>
        <v>UD; effluent data and B are ND</v>
      </c>
    </row>
    <row r="120" spans="1:20" ht="12.75">
      <c r="A120" s="7">
        <v>116</v>
      </c>
      <c r="B120" s="8" t="s">
        <v>131</v>
      </c>
      <c r="C120" s="101">
        <f>Criteria!C125</f>
        <v>0.81</v>
      </c>
      <c r="D120" s="113" t="str">
        <f>IF('data input for RPA'!C121="","",'data input for RPA'!C121)</f>
        <v>Y</v>
      </c>
      <c r="E120" s="113" t="str">
        <f>IF('data input for RPA'!D121="","",'data input for RPA'!D121)</f>
        <v>Y</v>
      </c>
      <c r="F120" s="113">
        <f>IF('data input for RPA'!E121="","",'data input for RPA'!E121)</f>
        <v>0.005</v>
      </c>
      <c r="G120" s="113">
        <f>IF('data input for RPA'!F121="","",'data input for RPA'!F121)</f>
      </c>
      <c r="H120" s="10" t="str">
        <f t="shared" si="12"/>
        <v>All ND, MDL&lt;C, MEC=MDL</v>
      </c>
      <c r="I120" s="114">
        <f t="shared" si="17"/>
        <v>0.005</v>
      </c>
      <c r="J120" s="10" t="str">
        <f t="shared" si="18"/>
        <v>MEC&lt;C, go to Step 5</v>
      </c>
      <c r="K120" s="114"/>
      <c r="L120" s="113" t="str">
        <f>IF('data input for RPA'!I121="","",'data input for RPA'!I121)</f>
        <v>Y</v>
      </c>
      <c r="M120" s="113" t="str">
        <f>IF('data input for RPA'!J121="","",'data input for RPA'!J121)</f>
        <v>Y</v>
      </c>
      <c r="N120" s="113">
        <f>IF('data input for RPA'!K121="","",'data input for RPA'!K121)</f>
        <v>0.005</v>
      </c>
      <c r="O120" s="113">
        <f>IF('data input for RPA'!L121="","",'data input for RPA'!L121)</f>
      </c>
      <c r="P120" s="113" t="str">
        <f t="shared" si="13"/>
        <v>N</v>
      </c>
      <c r="Q120" s="10" t="str">
        <f t="shared" si="14"/>
        <v>No detected value of B, Step 7</v>
      </c>
      <c r="R120" s="113">
        <f>'data input for RPA'!O121</f>
      </c>
      <c r="S120" s="152" t="str">
        <f t="shared" si="16"/>
        <v>No</v>
      </c>
      <c r="T120" s="153" t="str">
        <f t="shared" si="15"/>
        <v>Ud;MEC&lt;C &amp; B is ND</v>
      </c>
    </row>
    <row r="121" spans="1:20" ht="12.75">
      <c r="A121" s="7">
        <v>117</v>
      </c>
      <c r="B121" s="8" t="s">
        <v>132</v>
      </c>
      <c r="C121" s="105">
        <f>Criteria!C126</f>
        <v>0.00021</v>
      </c>
      <c r="D121" s="113" t="str">
        <f>IF('data input for RPA'!C122="","",'data input for RPA'!C122)</f>
        <v>Y</v>
      </c>
      <c r="E121" s="113" t="str">
        <f>IF('data input for RPA'!D122="","",'data input for RPA'!D122)</f>
        <v>Y</v>
      </c>
      <c r="F121" s="113">
        <f>IF('data input for RPA'!E122="","",'data input for RPA'!E122)</f>
        <v>0.005</v>
      </c>
      <c r="G121" s="113">
        <f>IF('data input for RPA'!F122="","",'data input for RPA'!F122)</f>
      </c>
      <c r="H121" s="10" t="str">
        <f t="shared" si="12"/>
        <v>All ND, MinDL&gt;C, Go to Step 5, &amp; IM</v>
      </c>
      <c r="I121" s="114">
        <f t="shared" si="17"/>
      </c>
      <c r="J121" s="10">
        <f t="shared" si="18"/>
      </c>
      <c r="K121" s="114"/>
      <c r="L121" s="113" t="str">
        <f>IF('data input for RPA'!I122="","",'data input for RPA'!I122)</f>
        <v>Y</v>
      </c>
      <c r="M121" s="113" t="str">
        <f>IF('data input for RPA'!J122="","",'data input for RPA'!J122)</f>
        <v>Y</v>
      </c>
      <c r="N121" s="113">
        <f>IF('data input for RPA'!K122="","",'data input for RPA'!K122)</f>
        <v>0.005</v>
      </c>
      <c r="O121" s="113">
        <f>IF('data input for RPA'!L122="","",'data input for RPA'!L122)</f>
      </c>
      <c r="P121" s="113" t="str">
        <f t="shared" si="13"/>
        <v>Y</v>
      </c>
      <c r="Q121" s="10" t="str">
        <f t="shared" si="14"/>
        <v>No detected value of B, Step 7</v>
      </c>
      <c r="R121" s="113">
        <f>'data input for RPA'!O122</f>
      </c>
      <c r="S121" s="152" t="str">
        <f t="shared" si="16"/>
        <v>No</v>
      </c>
      <c r="T121" s="153" t="str">
        <f t="shared" si="15"/>
        <v>UD; effluent data and B are ND</v>
      </c>
    </row>
    <row r="122" spans="1:20" ht="12.75">
      <c r="A122" s="7">
        <v>118</v>
      </c>
      <c r="B122" s="8" t="s">
        <v>133</v>
      </c>
      <c r="C122" s="105">
        <f>Criteria!C127</f>
        <v>0.00011</v>
      </c>
      <c r="D122" s="113" t="str">
        <f>IF('data input for RPA'!C123="","",'data input for RPA'!C123)</f>
        <v>Y</v>
      </c>
      <c r="E122" s="113" t="str">
        <f>IF('data input for RPA'!D123="","",'data input for RPA'!D123)</f>
        <v>Y</v>
      </c>
      <c r="F122" s="113">
        <f>IF('data input for RPA'!E123="","",'data input for RPA'!E123)</f>
        <v>0.005</v>
      </c>
      <c r="G122" s="113">
        <f>IF('data input for RPA'!F123="","",'data input for RPA'!F123)</f>
      </c>
      <c r="H122" s="10" t="str">
        <f t="shared" si="12"/>
        <v>All ND, MinDL&gt;C, Go to Step 5, &amp; IM</v>
      </c>
      <c r="I122" s="114">
        <f t="shared" si="17"/>
      </c>
      <c r="J122" s="10">
        <f t="shared" si="18"/>
      </c>
      <c r="K122" s="114"/>
      <c r="L122" s="113" t="str">
        <f>IF('data input for RPA'!I123="","",'data input for RPA'!I123)</f>
        <v>Y</v>
      </c>
      <c r="M122" s="113" t="str">
        <f>IF('data input for RPA'!J123="","",'data input for RPA'!J123)</f>
        <v>Y</v>
      </c>
      <c r="N122" s="113">
        <f>IF('data input for RPA'!K123="","",'data input for RPA'!K123)</f>
        <v>0.005</v>
      </c>
      <c r="O122" s="113">
        <f>IF('data input for RPA'!L123="","",'data input for RPA'!L123)</f>
      </c>
      <c r="P122" s="113" t="str">
        <f t="shared" si="13"/>
        <v>Y</v>
      </c>
      <c r="Q122" s="10" t="str">
        <f t="shared" si="14"/>
        <v>No detected value of B, Step 7</v>
      </c>
      <c r="R122" s="113">
        <f>'data input for RPA'!O123</f>
      </c>
      <c r="S122" s="152" t="str">
        <f t="shared" si="16"/>
        <v>No</v>
      </c>
      <c r="T122" s="153" t="str">
        <f t="shared" si="15"/>
        <v>UD; effluent data and B are ND</v>
      </c>
    </row>
    <row r="123" spans="1:20" ht="12.75">
      <c r="A123" s="157" t="s">
        <v>229</v>
      </c>
      <c r="B123" s="108" t="s">
        <v>230</v>
      </c>
      <c r="C123" s="158">
        <f>Criteria!C128</f>
        <v>0.00017</v>
      </c>
      <c r="D123" s="113" t="str">
        <f>IF('data input for RPA'!C124="","",'data input for RPA'!C124)</f>
        <v>Y</v>
      </c>
      <c r="E123" s="113" t="str">
        <f>IF('data input for RPA'!D124="","",'data input for RPA'!D124)</f>
        <v>Y</v>
      </c>
      <c r="F123" s="113">
        <f>IF('data input for RPA'!E124="","",'data input for RPA'!E124)</f>
        <v>0.1</v>
      </c>
      <c r="G123" s="113">
        <f>IF('data input for RPA'!F124="","",'data input for RPA'!F124)</f>
      </c>
      <c r="H123" s="10" t="str">
        <f t="shared" si="12"/>
        <v>All ND, MinDL&gt;C, Go to Step 5, &amp; IM</v>
      </c>
      <c r="I123" s="114">
        <f t="shared" si="17"/>
      </c>
      <c r="J123" s="10">
        <f t="shared" si="18"/>
      </c>
      <c r="K123" s="114"/>
      <c r="L123" s="113" t="str">
        <f>IF('data input for RPA'!I124="","",'data input for RPA'!I124)</f>
        <v>Y</v>
      </c>
      <c r="M123" s="113" t="str">
        <f>IF('data input for RPA'!J124="","",'data input for RPA'!J124)</f>
        <v>Y</v>
      </c>
      <c r="N123" s="113">
        <f>IF('data input for RPA'!K124="","",'data input for RPA'!K124)</f>
        <v>0.1</v>
      </c>
      <c r="O123" s="113">
        <f>IF('data input for RPA'!L124="","",'data input for RPA'!L124)</f>
      </c>
      <c r="P123" s="113" t="str">
        <f t="shared" si="13"/>
        <v>Y</v>
      </c>
      <c r="Q123" s="10" t="str">
        <f t="shared" si="14"/>
        <v>No detected value of B, Step 7</v>
      </c>
      <c r="R123" s="113">
        <f>'data input for RPA'!O124</f>
      </c>
      <c r="S123" s="152" t="str">
        <f t="shared" si="16"/>
        <v>No</v>
      </c>
      <c r="T123" s="153" t="str">
        <f t="shared" si="15"/>
        <v>UD; effluent data and B are ND</v>
      </c>
    </row>
    <row r="124" spans="1:20" ht="12.75">
      <c r="A124" s="159">
        <v>126</v>
      </c>
      <c r="B124" s="160" t="s">
        <v>134</v>
      </c>
      <c r="C124" s="158">
        <f>Criteria!C129</f>
        <v>0.0002</v>
      </c>
      <c r="D124" s="113" t="str">
        <f>IF('data input for RPA'!C125="","",'data input for RPA'!C125)</f>
        <v>Y</v>
      </c>
      <c r="E124" s="113" t="str">
        <f>IF('data input for RPA'!D125="","",'data input for RPA'!D125)</f>
        <v>Y</v>
      </c>
      <c r="F124" s="113">
        <f>IF('data input for RPA'!E125="","",'data input for RPA'!E125)</f>
        <v>0.1</v>
      </c>
      <c r="G124" s="113">
        <f>IF('data input for RPA'!F125="","",'data input for RPA'!F125)</f>
      </c>
      <c r="H124" s="10" t="str">
        <f t="shared" si="12"/>
        <v>All ND, MinDL&gt;C, Go to Step 5, &amp; IM</v>
      </c>
      <c r="I124" s="114">
        <f t="shared" si="17"/>
      </c>
      <c r="J124" s="10">
        <f t="shared" si="18"/>
      </c>
      <c r="K124" s="114"/>
      <c r="L124" s="113" t="str">
        <f>IF('data input for RPA'!I125="","",'data input for RPA'!I125)</f>
        <v>Y</v>
      </c>
      <c r="M124" s="113" t="str">
        <f>IF('data input for RPA'!J125="","",'data input for RPA'!J125)</f>
        <v>Y</v>
      </c>
      <c r="N124" s="113">
        <f>IF('data input for RPA'!K125="","",'data input for RPA'!K125)</f>
        <v>0.1</v>
      </c>
      <c r="O124" s="113">
        <f>IF('data input for RPA'!L125="","",'data input for RPA'!L125)</f>
      </c>
      <c r="P124" s="113" t="str">
        <f t="shared" si="13"/>
        <v>Y</v>
      </c>
      <c r="Q124" s="10" t="str">
        <f t="shared" si="14"/>
        <v>No detected value of B, Step 7</v>
      </c>
      <c r="R124" s="113">
        <f>'data input for RPA'!O125</f>
      </c>
      <c r="S124" s="152" t="str">
        <f t="shared" si="16"/>
        <v>No</v>
      </c>
      <c r="T124" s="153" t="str">
        <f t="shared" si="15"/>
        <v>UD; effluent data and B are ND</v>
      </c>
    </row>
    <row r="125" spans="1:20" ht="12.75">
      <c r="A125" s="159"/>
      <c r="B125" s="160" t="s">
        <v>253</v>
      </c>
      <c r="C125" s="158">
        <f>Criteria!C131</f>
        <v>15</v>
      </c>
      <c r="D125" s="113" t="str">
        <f>IF('data input for RPA'!C126="","",'data input for RPA'!C126)</f>
        <v>N</v>
      </c>
      <c r="E125" s="113">
        <f>IF('data input for RPA'!D126="","",'data input for RPA'!D126)</f>
      </c>
      <c r="F125" s="113">
        <f>IF('data input for RPA'!E126="","",'data input for RPA'!E126)</f>
      </c>
      <c r="G125" s="113">
        <f>IF('data input for RPA'!F126="","",'data input for RPA'!F126)</f>
      </c>
      <c r="H125" s="10" t="str">
        <f>IF(C125="No Criteria","No Criteria",IF(D125="N","No effluent data",IF(E125="N","",IF(F125&lt;C125,"All ND, MDL&lt;C, MEC=MDL","All ND, MinDL&gt;C, Go to Step 5, &amp; IM"))))</f>
        <v>No effluent data</v>
      </c>
      <c r="I125" s="114">
        <f>IF(C125="No Criteria","No Criteria",IF(D125="N","",IF(E125="N",G125,IF(H125="All ND, MDL&lt;C, MEC=MDL",F125,""))))</f>
      </c>
      <c r="J125" s="10">
        <f>IF(C125="No Criteria","No Criteria",IF(I125="","",IF(I125&gt;=C125,"MEC&gt;=C, Effluent Limits Required","MEC&lt;C, go to Step 5")))</f>
      </c>
      <c r="K125" s="114"/>
      <c r="L125" s="113" t="str">
        <f>IF('data input for RPA'!I126="","",'data input for RPA'!I126)</f>
        <v>N</v>
      </c>
      <c r="M125" s="113">
        <f>IF('data input for RPA'!J126="","",'data input for RPA'!J126)</f>
      </c>
      <c r="N125" s="113">
        <f>IF('data input for RPA'!K126="","",'data input for RPA'!K126)</f>
      </c>
      <c r="O125" s="113">
        <f>IF('data input for RPA'!L126="","",'data input for RPA'!L126)</f>
      </c>
      <c r="P125" s="113">
        <f t="shared" si="13"/>
      </c>
      <c r="Q125" s="10" t="str">
        <f t="shared" si="14"/>
        <v>No detected value of B, Step 7</v>
      </c>
      <c r="R125" s="113">
        <f>'data input for RPA'!O126</f>
      </c>
      <c r="S125" s="152" t="str">
        <f t="shared" si="16"/>
        <v>Ud</v>
      </c>
      <c r="T125" s="153" t="str">
        <f t="shared" si="15"/>
        <v>no effluent data &amp; no B</v>
      </c>
    </row>
    <row r="126" spans="1:20" ht="12.75">
      <c r="A126" s="17"/>
      <c r="B126" s="18" t="s">
        <v>135</v>
      </c>
      <c r="C126" s="19"/>
      <c r="D126" s="20"/>
      <c r="E126" s="20"/>
      <c r="F126" s="20"/>
      <c r="G126" s="20"/>
      <c r="H126" s="20"/>
      <c r="I126" s="109"/>
      <c r="J126" s="20"/>
      <c r="K126" s="20"/>
      <c r="L126" s="20"/>
      <c r="M126" s="20"/>
      <c r="N126" s="20"/>
      <c r="O126" s="20"/>
      <c r="P126" s="20"/>
      <c r="Q126" s="21"/>
      <c r="R126" s="20"/>
      <c r="S126" s="20"/>
      <c r="T126" s="20"/>
    </row>
    <row r="127" spans="2:20" ht="12.75">
      <c r="B127" s="22" t="s">
        <v>147</v>
      </c>
      <c r="C127" s="19"/>
      <c r="D127" s="23"/>
      <c r="E127" s="23"/>
      <c r="F127" s="23"/>
      <c r="G127" s="23"/>
      <c r="H127" s="23"/>
      <c r="I127" s="110"/>
      <c r="J127" s="23"/>
      <c r="K127" s="23"/>
      <c r="L127" s="23"/>
      <c r="M127" s="23"/>
      <c r="N127" s="23"/>
      <c r="O127" s="23"/>
      <c r="P127" s="23"/>
      <c r="R127" s="23"/>
      <c r="S127" s="20"/>
      <c r="T127" s="20"/>
    </row>
    <row r="128" spans="2:20" ht="12.75">
      <c r="B128" s="24" t="s">
        <v>310</v>
      </c>
      <c r="C128" s="19"/>
      <c r="D128" s="23"/>
      <c r="E128" s="23"/>
      <c r="F128" s="23"/>
      <c r="G128" s="23"/>
      <c r="H128" s="23"/>
      <c r="I128" s="110"/>
      <c r="J128" s="23"/>
      <c r="K128" s="23"/>
      <c r="L128" s="23"/>
      <c r="M128" s="23"/>
      <c r="N128" s="23"/>
      <c r="O128" s="23"/>
      <c r="P128" s="23"/>
      <c r="R128" s="23"/>
      <c r="S128" s="20"/>
      <c r="T128" s="20"/>
    </row>
    <row r="129" spans="2:20" ht="12.75">
      <c r="B129" s="24" t="s">
        <v>274</v>
      </c>
      <c r="C129" s="19"/>
      <c r="D129" s="23"/>
      <c r="E129" s="23"/>
      <c r="F129" s="23"/>
      <c r="G129" s="23"/>
      <c r="H129" s="23"/>
      <c r="I129" s="110"/>
      <c r="J129" s="23"/>
      <c r="K129" s="23"/>
      <c r="L129" s="23"/>
      <c r="M129" s="23"/>
      <c r="N129" s="23"/>
      <c r="O129" s="23"/>
      <c r="P129" s="23"/>
      <c r="R129" s="23"/>
      <c r="S129" s="20"/>
      <c r="T129" s="20"/>
    </row>
    <row r="130" spans="2:20" ht="12.75">
      <c r="B130" s="25" t="s">
        <v>136</v>
      </c>
      <c r="C130" s="19"/>
      <c r="D130" s="24" t="s">
        <v>282</v>
      </c>
      <c r="E130" s="24"/>
      <c r="F130" s="24"/>
      <c r="G130" s="24"/>
      <c r="H130" s="24"/>
      <c r="I130" s="22"/>
      <c r="J130" s="24"/>
      <c r="K130" s="24"/>
      <c r="L130" s="24"/>
      <c r="M130" s="24"/>
      <c r="N130" s="24"/>
      <c r="O130" s="24"/>
      <c r="P130" s="24"/>
      <c r="Q130" s="24"/>
      <c r="R130" s="24"/>
      <c r="S130" s="18"/>
      <c r="T130" s="18"/>
    </row>
    <row r="131" spans="2:20" ht="12.75">
      <c r="B131" s="25"/>
      <c r="C131" s="19"/>
      <c r="D131" s="24" t="s">
        <v>137</v>
      </c>
      <c r="E131" s="24"/>
      <c r="F131" s="24"/>
      <c r="G131" s="24"/>
      <c r="H131" s="24"/>
      <c r="I131" s="22"/>
      <c r="J131" s="24"/>
      <c r="K131" s="24"/>
      <c r="L131" s="24"/>
      <c r="M131" s="24"/>
      <c r="N131" s="24"/>
      <c r="O131" s="24"/>
      <c r="P131" s="24"/>
      <c r="Q131" s="24"/>
      <c r="R131" s="24"/>
      <c r="S131" s="18"/>
      <c r="T131" s="18"/>
    </row>
    <row r="132" spans="2:20" ht="12.75">
      <c r="B132" s="24"/>
      <c r="C132" s="19"/>
      <c r="D132" s="24"/>
      <c r="E132" s="24"/>
      <c r="F132" s="24"/>
      <c r="G132" s="24"/>
      <c r="H132" s="24"/>
      <c r="I132" s="22"/>
      <c r="J132" s="24"/>
      <c r="K132" s="24"/>
      <c r="L132" s="24"/>
      <c r="M132" s="24"/>
      <c r="N132" s="24"/>
      <c r="O132" s="24"/>
      <c r="P132" s="24"/>
      <c r="Q132" s="24"/>
      <c r="R132" s="24"/>
      <c r="S132" s="18"/>
      <c r="T132" s="18"/>
    </row>
    <row r="133" spans="2:20" ht="12.75">
      <c r="B133" s="24"/>
      <c r="C133" s="19"/>
      <c r="D133" s="24"/>
      <c r="E133" s="24"/>
      <c r="F133" s="24"/>
      <c r="G133" s="24"/>
      <c r="H133" s="24"/>
      <c r="I133" s="22"/>
      <c r="J133" s="24"/>
      <c r="K133" s="24"/>
      <c r="L133" s="24"/>
      <c r="M133" s="24"/>
      <c r="N133" s="24"/>
      <c r="O133" s="24"/>
      <c r="P133" s="24"/>
      <c r="Q133" s="24"/>
      <c r="R133" s="24"/>
      <c r="S133" s="18"/>
      <c r="T133" s="18"/>
    </row>
    <row r="134" spans="3:20" ht="12.75">
      <c r="C134" s="19"/>
      <c r="D134" s="23"/>
      <c r="E134" s="23"/>
      <c r="F134" s="23"/>
      <c r="G134" s="23"/>
      <c r="H134" s="23"/>
      <c r="I134" s="110"/>
      <c r="J134" s="23"/>
      <c r="K134" s="23"/>
      <c r="L134" s="23"/>
      <c r="M134" s="23"/>
      <c r="N134" s="23"/>
      <c r="O134" s="23"/>
      <c r="P134" s="23"/>
      <c r="R134" s="23"/>
      <c r="S134" s="20"/>
      <c r="T134" s="20"/>
    </row>
    <row r="135" spans="3:20" ht="12.75">
      <c r="C135" s="19"/>
      <c r="D135" s="23"/>
      <c r="E135" s="23"/>
      <c r="F135" s="23"/>
      <c r="G135" s="23"/>
      <c r="H135" s="23"/>
      <c r="I135" s="110"/>
      <c r="J135" s="23"/>
      <c r="K135" s="23"/>
      <c r="L135" s="23"/>
      <c r="M135" s="23"/>
      <c r="N135" s="23"/>
      <c r="O135" s="23"/>
      <c r="P135" s="23"/>
      <c r="R135" s="23"/>
      <c r="S135" s="20"/>
      <c r="T135" s="20"/>
    </row>
    <row r="136" spans="3:20" ht="12.75">
      <c r="C136" s="100"/>
      <c r="D136" s="27"/>
      <c r="E136" s="27"/>
      <c r="F136" s="27"/>
      <c r="G136" s="27"/>
      <c r="H136" s="27"/>
      <c r="I136" s="111"/>
      <c r="J136" s="27"/>
      <c r="K136" s="27"/>
      <c r="L136" s="27"/>
      <c r="M136" s="27"/>
      <c r="N136" s="27"/>
      <c r="O136" s="27"/>
      <c r="P136" s="27"/>
      <c r="Q136" s="26"/>
      <c r="R136" s="27"/>
      <c r="S136" s="100"/>
      <c r="T136" s="100"/>
    </row>
    <row r="137" spans="3:20" ht="12.75">
      <c r="C137" s="19"/>
      <c r="D137" s="23"/>
      <c r="E137" s="23"/>
      <c r="F137" s="23"/>
      <c r="G137" s="23"/>
      <c r="H137" s="23"/>
      <c r="I137" s="110"/>
      <c r="J137" s="23"/>
      <c r="K137" s="23"/>
      <c r="L137" s="23"/>
      <c r="M137" s="23"/>
      <c r="N137" s="23"/>
      <c r="O137" s="23"/>
      <c r="P137" s="23"/>
      <c r="R137" s="23"/>
      <c r="S137" s="20"/>
      <c r="T137" s="20"/>
    </row>
    <row r="138" spans="3:20" ht="12.75">
      <c r="C138" s="19"/>
      <c r="D138" s="23"/>
      <c r="E138" s="23"/>
      <c r="F138" s="23"/>
      <c r="G138" s="23"/>
      <c r="H138" s="23"/>
      <c r="I138" s="110"/>
      <c r="J138" s="23"/>
      <c r="K138" s="23"/>
      <c r="L138" s="23"/>
      <c r="M138" s="23"/>
      <c r="N138" s="23"/>
      <c r="O138" s="23"/>
      <c r="P138" s="23"/>
      <c r="R138" s="23"/>
      <c r="S138" s="20"/>
      <c r="T138" s="20"/>
    </row>
    <row r="139" spans="3:20" ht="12.75">
      <c r="C139" s="19"/>
      <c r="D139" s="23"/>
      <c r="E139" s="23"/>
      <c r="F139" s="23"/>
      <c r="G139" s="23"/>
      <c r="H139" s="23"/>
      <c r="I139" s="110"/>
      <c r="J139" s="23"/>
      <c r="K139" s="23"/>
      <c r="L139" s="23"/>
      <c r="M139" s="23"/>
      <c r="N139" s="23"/>
      <c r="O139" s="23"/>
      <c r="P139" s="23"/>
      <c r="R139" s="23"/>
      <c r="S139" s="20"/>
      <c r="T139" s="20"/>
    </row>
    <row r="140" spans="3:20" ht="12.75">
      <c r="C140" s="19"/>
      <c r="D140" s="23"/>
      <c r="E140" s="23"/>
      <c r="F140" s="23"/>
      <c r="G140" s="23"/>
      <c r="H140" s="23"/>
      <c r="I140" s="110"/>
      <c r="J140" s="23"/>
      <c r="K140" s="23"/>
      <c r="L140" s="23"/>
      <c r="M140" s="23"/>
      <c r="N140" s="23"/>
      <c r="O140" s="23"/>
      <c r="P140" s="23"/>
      <c r="R140" s="23"/>
      <c r="S140" s="20"/>
      <c r="T140" s="20"/>
    </row>
    <row r="141" spans="3:20" ht="12.75">
      <c r="C141" s="19"/>
      <c r="D141" s="23"/>
      <c r="E141" s="23"/>
      <c r="F141" s="23"/>
      <c r="G141" s="23"/>
      <c r="H141" s="23"/>
      <c r="I141" s="110"/>
      <c r="J141" s="23"/>
      <c r="K141" s="23"/>
      <c r="L141" s="23"/>
      <c r="M141" s="23"/>
      <c r="N141" s="23"/>
      <c r="O141" s="23"/>
      <c r="P141" s="23"/>
      <c r="R141" s="23"/>
      <c r="S141" s="20"/>
      <c r="T141" s="20"/>
    </row>
    <row r="142" spans="3:20" ht="12.75">
      <c r="C142" s="19"/>
      <c r="D142" s="23"/>
      <c r="E142" s="23"/>
      <c r="F142" s="23"/>
      <c r="G142" s="23"/>
      <c r="H142" s="23"/>
      <c r="I142" s="110"/>
      <c r="J142" s="23"/>
      <c r="K142" s="23"/>
      <c r="L142" s="23"/>
      <c r="M142" s="23"/>
      <c r="N142" s="23"/>
      <c r="O142" s="23"/>
      <c r="P142" s="23"/>
      <c r="R142" s="23"/>
      <c r="S142" s="20"/>
      <c r="T142" s="20"/>
    </row>
    <row r="143" spans="3:20" ht="12.75">
      <c r="C143" s="19"/>
      <c r="D143" s="23"/>
      <c r="E143" s="23"/>
      <c r="F143" s="23"/>
      <c r="G143" s="23"/>
      <c r="H143" s="23"/>
      <c r="I143" s="110"/>
      <c r="J143" s="23"/>
      <c r="K143" s="23"/>
      <c r="L143" s="23"/>
      <c r="M143" s="23"/>
      <c r="N143" s="23"/>
      <c r="O143" s="23"/>
      <c r="P143" s="23"/>
      <c r="R143" s="23"/>
      <c r="S143" s="20"/>
      <c r="T143" s="20"/>
    </row>
    <row r="144" spans="3:20" ht="12.75">
      <c r="C144" s="19"/>
      <c r="D144" s="23"/>
      <c r="E144" s="23"/>
      <c r="F144" s="23"/>
      <c r="G144" s="23"/>
      <c r="H144" s="23"/>
      <c r="I144" s="110"/>
      <c r="J144" s="23"/>
      <c r="K144" s="23"/>
      <c r="L144" s="23"/>
      <c r="M144" s="23"/>
      <c r="N144" s="23"/>
      <c r="O144" s="23"/>
      <c r="P144" s="23"/>
      <c r="R144" s="23"/>
      <c r="S144" s="20"/>
      <c r="T144" s="20"/>
    </row>
    <row r="145" spans="3:20" ht="12.75">
      <c r="C145" s="19"/>
      <c r="D145" s="23"/>
      <c r="E145" s="23"/>
      <c r="F145" s="23"/>
      <c r="G145" s="23"/>
      <c r="H145" s="23"/>
      <c r="I145" s="110"/>
      <c r="J145" s="23"/>
      <c r="K145" s="23"/>
      <c r="L145" s="23"/>
      <c r="M145" s="23"/>
      <c r="N145" s="23"/>
      <c r="O145" s="23"/>
      <c r="P145" s="23"/>
      <c r="R145" s="23"/>
      <c r="S145" s="20"/>
      <c r="T145" s="20"/>
    </row>
    <row r="146" spans="3:20" ht="12.75">
      <c r="C146" s="19"/>
      <c r="D146" s="23"/>
      <c r="E146" s="23"/>
      <c r="F146" s="23"/>
      <c r="G146" s="23"/>
      <c r="H146" s="23"/>
      <c r="I146" s="110"/>
      <c r="J146" s="23"/>
      <c r="K146" s="23"/>
      <c r="L146" s="23"/>
      <c r="M146" s="23"/>
      <c r="N146" s="23"/>
      <c r="O146" s="23"/>
      <c r="P146" s="23"/>
      <c r="R146" s="23"/>
      <c r="S146" s="20"/>
      <c r="T146" s="20"/>
    </row>
    <row r="147" spans="3:20" ht="12.75">
      <c r="C147" s="19"/>
      <c r="D147" s="23"/>
      <c r="E147" s="23"/>
      <c r="F147" s="23"/>
      <c r="G147" s="23"/>
      <c r="H147" s="23"/>
      <c r="I147" s="110"/>
      <c r="J147" s="23"/>
      <c r="K147" s="23"/>
      <c r="L147" s="23"/>
      <c r="M147" s="23"/>
      <c r="N147" s="23"/>
      <c r="O147" s="23"/>
      <c r="P147" s="23"/>
      <c r="R147" s="23"/>
      <c r="S147" s="20"/>
      <c r="T147" s="20"/>
    </row>
    <row r="148" spans="3:20" ht="12.75">
      <c r="C148" s="19"/>
      <c r="D148" s="23"/>
      <c r="E148" s="23"/>
      <c r="F148" s="23"/>
      <c r="G148" s="23"/>
      <c r="H148" s="23"/>
      <c r="I148" s="110"/>
      <c r="J148" s="23"/>
      <c r="K148" s="23"/>
      <c r="L148" s="23"/>
      <c r="M148" s="23"/>
      <c r="N148" s="23"/>
      <c r="O148" s="23"/>
      <c r="P148" s="23"/>
      <c r="R148" s="23"/>
      <c r="S148" s="20"/>
      <c r="T148" s="20"/>
    </row>
    <row r="149" spans="3:20" ht="12.75">
      <c r="C149" s="19"/>
      <c r="D149" s="23"/>
      <c r="E149" s="23"/>
      <c r="F149" s="23"/>
      <c r="G149" s="23"/>
      <c r="H149" s="23"/>
      <c r="I149" s="110"/>
      <c r="J149" s="23"/>
      <c r="K149" s="23"/>
      <c r="L149" s="23"/>
      <c r="M149" s="23"/>
      <c r="N149" s="23"/>
      <c r="O149" s="23"/>
      <c r="P149" s="23"/>
      <c r="R149" s="23"/>
      <c r="S149" s="20"/>
      <c r="T149" s="20"/>
    </row>
    <row r="150" spans="3:20" ht="12.75">
      <c r="C150" s="19"/>
      <c r="D150" s="23"/>
      <c r="E150" s="23"/>
      <c r="F150" s="23"/>
      <c r="G150" s="23"/>
      <c r="H150" s="23"/>
      <c r="I150" s="110"/>
      <c r="J150" s="23"/>
      <c r="K150" s="23"/>
      <c r="L150" s="23"/>
      <c r="M150" s="23"/>
      <c r="N150" s="23"/>
      <c r="O150" s="23"/>
      <c r="P150" s="23"/>
      <c r="R150" s="23"/>
      <c r="S150" s="20"/>
      <c r="T150" s="20"/>
    </row>
    <row r="151" spans="3:20" ht="12.75">
      <c r="C151" s="19"/>
      <c r="D151" s="23"/>
      <c r="E151" s="23"/>
      <c r="F151" s="23"/>
      <c r="G151" s="23"/>
      <c r="H151" s="23"/>
      <c r="I151" s="110"/>
      <c r="J151" s="23"/>
      <c r="K151" s="23"/>
      <c r="L151" s="23"/>
      <c r="M151" s="23"/>
      <c r="N151" s="23"/>
      <c r="O151" s="23"/>
      <c r="P151" s="23"/>
      <c r="R151" s="23"/>
      <c r="S151" s="20"/>
      <c r="T151" s="20"/>
    </row>
    <row r="152" spans="3:20" ht="12.75">
      <c r="C152" s="17"/>
      <c r="S152" s="17"/>
      <c r="T152" s="17"/>
    </row>
    <row r="153" spans="3:20" ht="12.75">
      <c r="C153" s="17"/>
      <c r="S153" s="17"/>
      <c r="T153" s="17"/>
    </row>
    <row r="154" spans="3:20" ht="12.75">
      <c r="C154" s="17"/>
      <c r="S154" s="17"/>
      <c r="T154" s="17"/>
    </row>
    <row r="155" spans="3:20" ht="12.75">
      <c r="C155" s="17"/>
      <c r="S155" s="17"/>
      <c r="T155" s="17"/>
    </row>
    <row r="156" spans="3:20" ht="12.75">
      <c r="C156" s="17"/>
      <c r="S156" s="17"/>
      <c r="T156" s="17"/>
    </row>
    <row r="157" spans="3:20" ht="12.75">
      <c r="C157" s="17"/>
      <c r="S157" s="17"/>
      <c r="T157" s="17"/>
    </row>
    <row r="158" spans="3:20" ht="12.75">
      <c r="C158" s="17"/>
      <c r="S158" s="17"/>
      <c r="T158" s="17"/>
    </row>
    <row r="159" spans="3:20" ht="12.75">
      <c r="C159" s="17"/>
      <c r="S159" s="17"/>
      <c r="T159" s="17"/>
    </row>
    <row r="160" spans="3:20" ht="12.75">
      <c r="C160" s="17"/>
      <c r="S160" s="17"/>
      <c r="T160" s="17"/>
    </row>
    <row r="161" spans="3:20" ht="12.75">
      <c r="C161" s="17"/>
      <c r="S161" s="17"/>
      <c r="T161" s="17"/>
    </row>
    <row r="162" spans="3:20" ht="12.75">
      <c r="C162" s="17"/>
      <c r="S162" s="17"/>
      <c r="T162" s="17"/>
    </row>
    <row r="163" spans="3:20" ht="12.75">
      <c r="C163" s="17"/>
      <c r="S163" s="17"/>
      <c r="T163" s="17"/>
    </row>
    <row r="164" spans="3:20" ht="12.75">
      <c r="C164" s="17"/>
      <c r="S164" s="17"/>
      <c r="T164" s="17"/>
    </row>
    <row r="165" spans="3:20" ht="12.75">
      <c r="C165" s="17"/>
      <c r="S165" s="17"/>
      <c r="T165" s="17"/>
    </row>
    <row r="166" spans="3:20" ht="12.75">
      <c r="C166" s="17"/>
      <c r="S166" s="17"/>
      <c r="T166" s="17"/>
    </row>
    <row r="167" spans="3:20" ht="12.75">
      <c r="C167" s="17"/>
      <c r="S167" s="17"/>
      <c r="T167" s="17"/>
    </row>
    <row r="168" spans="3:20" ht="12.75">
      <c r="C168" s="17"/>
      <c r="S168" s="17"/>
      <c r="T168" s="17"/>
    </row>
    <row r="169" spans="3:20" ht="12.75">
      <c r="C169" s="17"/>
      <c r="S169" s="17"/>
      <c r="T169" s="17"/>
    </row>
    <row r="170" spans="3:20" ht="12.75">
      <c r="C170" s="17"/>
      <c r="S170" s="17"/>
      <c r="T170" s="17"/>
    </row>
    <row r="171" spans="3:20" ht="12.75">
      <c r="C171" s="17"/>
      <c r="S171" s="17"/>
      <c r="T171" s="17"/>
    </row>
    <row r="172" spans="3:20" ht="12.75">
      <c r="C172" s="17"/>
      <c r="S172" s="17"/>
      <c r="T172" s="17"/>
    </row>
    <row r="173" spans="3:20" ht="12.75">
      <c r="C173" s="17"/>
      <c r="S173" s="17"/>
      <c r="T173" s="17"/>
    </row>
    <row r="174" spans="3:20" ht="12.75">
      <c r="C174" s="17"/>
      <c r="S174" s="17"/>
      <c r="T174" s="17"/>
    </row>
    <row r="175" spans="3:20" ht="12.75">
      <c r="C175" s="17"/>
      <c r="S175" s="17"/>
      <c r="T175" s="17"/>
    </row>
    <row r="176" spans="3:20" ht="12.75">
      <c r="C176" s="17"/>
      <c r="S176" s="17"/>
      <c r="T176" s="17"/>
    </row>
    <row r="177" spans="3:20" ht="12.75">
      <c r="C177" s="17"/>
      <c r="S177" s="17"/>
      <c r="T177" s="17"/>
    </row>
    <row r="178" spans="3:20" ht="12.75">
      <c r="C178" s="17"/>
      <c r="S178" s="17"/>
      <c r="T178" s="17"/>
    </row>
    <row r="179" spans="3:20" ht="12.75">
      <c r="C179" s="17"/>
      <c r="S179" s="17"/>
      <c r="T179" s="17"/>
    </row>
    <row r="180" spans="3:20" ht="12.75">
      <c r="C180" s="17"/>
      <c r="S180" s="17"/>
      <c r="T180" s="17"/>
    </row>
    <row r="181" spans="3:20" ht="12.75">
      <c r="C181" s="17"/>
      <c r="S181" s="17"/>
      <c r="T181" s="17"/>
    </row>
    <row r="182" spans="3:20" ht="12.75">
      <c r="C182" s="17"/>
      <c r="S182" s="17"/>
      <c r="T182" s="17"/>
    </row>
    <row r="183" spans="3:20" ht="12.75">
      <c r="C183" s="17"/>
      <c r="S183" s="17"/>
      <c r="T183" s="17"/>
    </row>
    <row r="184" spans="3:20" ht="12.75">
      <c r="C184" s="17"/>
      <c r="S184" s="17"/>
      <c r="T184" s="17"/>
    </row>
    <row r="185" spans="3:20" ht="12.75">
      <c r="C185" s="17"/>
      <c r="S185" s="17"/>
      <c r="T185" s="17"/>
    </row>
    <row r="186" spans="3:20" ht="12.75">
      <c r="C186" s="17"/>
      <c r="S186" s="17"/>
      <c r="T186" s="17"/>
    </row>
    <row r="187" spans="3:20" ht="12.75">
      <c r="C187" s="17"/>
      <c r="S187" s="17"/>
      <c r="T187" s="17"/>
    </row>
    <row r="188" spans="3:20" ht="12.75">
      <c r="C188" s="17"/>
      <c r="S188" s="17"/>
      <c r="T188" s="17"/>
    </row>
    <row r="189" spans="3:20" ht="12.75">
      <c r="C189" s="17"/>
      <c r="S189" s="17"/>
      <c r="T189" s="17"/>
    </row>
    <row r="190" spans="3:20" ht="12.75">
      <c r="C190" s="17"/>
      <c r="S190" s="17"/>
      <c r="T190" s="17"/>
    </row>
    <row r="191" spans="3:20" ht="12.75">
      <c r="C191" s="17"/>
      <c r="S191" s="17"/>
      <c r="T191" s="17"/>
    </row>
    <row r="192" spans="3:20" ht="12.75">
      <c r="C192" s="17"/>
      <c r="S192" s="17"/>
      <c r="T192" s="17"/>
    </row>
    <row r="193" spans="3:20" ht="12.75">
      <c r="C193" s="17"/>
      <c r="S193" s="17"/>
      <c r="T193" s="17"/>
    </row>
    <row r="194" spans="3:20" ht="12.75">
      <c r="C194" s="17"/>
      <c r="S194" s="17"/>
      <c r="T194" s="17"/>
    </row>
    <row r="195" spans="3:20" ht="12.75">
      <c r="C195" s="17"/>
      <c r="S195" s="17"/>
      <c r="T195" s="17"/>
    </row>
    <row r="196" spans="3:20" ht="12.75">
      <c r="C196" s="17"/>
      <c r="S196" s="17"/>
      <c r="T196" s="17"/>
    </row>
    <row r="197" spans="3:20" ht="12.75">
      <c r="C197" s="17"/>
      <c r="S197" s="17"/>
      <c r="T197" s="17"/>
    </row>
    <row r="198" spans="3:20" ht="12.75">
      <c r="C198" s="17"/>
      <c r="S198" s="17"/>
      <c r="T198" s="17"/>
    </row>
    <row r="199" spans="3:20" ht="12.75">
      <c r="C199" s="17"/>
      <c r="S199" s="17"/>
      <c r="T199" s="17"/>
    </row>
    <row r="200" spans="3:20" ht="12.75">
      <c r="C200" s="17"/>
      <c r="S200" s="17"/>
      <c r="T200" s="17"/>
    </row>
    <row r="201" spans="3:20" ht="12.75">
      <c r="C201" s="17"/>
      <c r="S201" s="17"/>
      <c r="T201" s="17"/>
    </row>
    <row r="202" spans="3:20" ht="12.75">
      <c r="C202" s="17"/>
      <c r="S202" s="17"/>
      <c r="T202" s="17"/>
    </row>
    <row r="203" spans="3:20" ht="12.75">
      <c r="C203" s="17"/>
      <c r="S203" s="17"/>
      <c r="T203" s="17"/>
    </row>
    <row r="204" spans="3:20" ht="12.75">
      <c r="C204" s="17"/>
      <c r="S204" s="17"/>
      <c r="T204" s="17"/>
    </row>
    <row r="205" spans="3:20" ht="12.75">
      <c r="C205" s="17"/>
      <c r="S205" s="17"/>
      <c r="T205" s="17"/>
    </row>
    <row r="206" spans="3:20" ht="12.75">
      <c r="C206" s="17"/>
      <c r="S206" s="17"/>
      <c r="T206" s="17"/>
    </row>
    <row r="207" spans="3:20" ht="12.75">
      <c r="C207" s="17"/>
      <c r="S207" s="17"/>
      <c r="T207" s="17"/>
    </row>
    <row r="208" spans="3:20" ht="12.75">
      <c r="C208" s="17"/>
      <c r="S208" s="17"/>
      <c r="T208" s="17"/>
    </row>
    <row r="209" spans="3:20" ht="12.75">
      <c r="C209" s="17"/>
      <c r="S209" s="17"/>
      <c r="T209" s="17"/>
    </row>
    <row r="210" spans="3:20" ht="12.75">
      <c r="C210" s="17"/>
      <c r="S210" s="17"/>
      <c r="T210" s="17"/>
    </row>
    <row r="211" spans="3:20" ht="12.75">
      <c r="C211" s="17"/>
      <c r="S211" s="17"/>
      <c r="T211" s="17"/>
    </row>
    <row r="212" spans="3:20" ht="12.75">
      <c r="C212" s="17"/>
      <c r="S212" s="17"/>
      <c r="T212" s="17"/>
    </row>
    <row r="213" spans="3:20" ht="12.75">
      <c r="C213" s="17"/>
      <c r="S213" s="17"/>
      <c r="T213" s="17"/>
    </row>
    <row r="214" spans="3:20" ht="12.75">
      <c r="C214" s="17"/>
      <c r="S214" s="17"/>
      <c r="T214" s="17"/>
    </row>
    <row r="215" spans="3:20" ht="12.75">
      <c r="C215" s="17"/>
      <c r="S215" s="17"/>
      <c r="T215" s="17"/>
    </row>
    <row r="216" spans="3:20" ht="12.75">
      <c r="C216" s="17"/>
      <c r="S216" s="17"/>
      <c r="T216" s="17"/>
    </row>
    <row r="217" spans="3:20" ht="12.75">
      <c r="C217" s="17"/>
      <c r="S217" s="17"/>
      <c r="T217" s="17"/>
    </row>
    <row r="218" spans="3:20" ht="12.75">
      <c r="C218" s="17"/>
      <c r="S218" s="17"/>
      <c r="T218" s="17"/>
    </row>
    <row r="219" spans="3:20" ht="12.75">
      <c r="C219" s="17"/>
      <c r="S219" s="17"/>
      <c r="T219" s="17"/>
    </row>
    <row r="220" spans="3:20" ht="12.75">
      <c r="C220" s="17"/>
      <c r="S220" s="17"/>
      <c r="T220" s="17"/>
    </row>
    <row r="221" spans="3:20" ht="12.75">
      <c r="C221" s="17"/>
      <c r="S221" s="17"/>
      <c r="T221" s="17"/>
    </row>
    <row r="222" spans="3:20" ht="12.75">
      <c r="C222" s="17"/>
      <c r="S222" s="17"/>
      <c r="T222" s="17"/>
    </row>
    <row r="223" spans="3:20" ht="12.75">
      <c r="C223" s="17"/>
      <c r="S223" s="17"/>
      <c r="T223" s="17"/>
    </row>
    <row r="224" spans="3:20" ht="12.75">
      <c r="C224" s="17"/>
      <c r="S224" s="17"/>
      <c r="T224" s="17"/>
    </row>
    <row r="225" spans="3:20" ht="12.75">
      <c r="C225" s="17"/>
      <c r="S225" s="17"/>
      <c r="T225" s="17"/>
    </row>
    <row r="226" spans="3:20" ht="12.75">
      <c r="C226" s="17"/>
      <c r="S226" s="17"/>
      <c r="T226" s="17"/>
    </row>
    <row r="227" spans="3:20" ht="12.75">
      <c r="C227" s="17"/>
      <c r="S227" s="17"/>
      <c r="T227" s="17"/>
    </row>
    <row r="228" spans="3:20" ht="12.75">
      <c r="C228" s="17"/>
      <c r="S228" s="17"/>
      <c r="T228" s="17"/>
    </row>
    <row r="229" spans="3:20" ht="12.75">
      <c r="C229" s="17"/>
      <c r="S229" s="17"/>
      <c r="T229" s="17"/>
    </row>
    <row r="230" spans="3:20" ht="12.75">
      <c r="C230" s="17"/>
      <c r="S230" s="17"/>
      <c r="T230" s="17"/>
    </row>
    <row r="231" spans="3:20" ht="12.75">
      <c r="C231" s="17"/>
      <c r="S231" s="17"/>
      <c r="T231" s="17"/>
    </row>
    <row r="232" spans="3:20" ht="12.75">
      <c r="C232" s="17"/>
      <c r="S232" s="17"/>
      <c r="T232" s="17"/>
    </row>
    <row r="233" spans="3:20" ht="12.75">
      <c r="C233" s="17"/>
      <c r="S233" s="17"/>
      <c r="T233" s="17"/>
    </row>
    <row r="234" spans="3:20" ht="12.75">
      <c r="C234" s="17"/>
      <c r="S234" s="17"/>
      <c r="T234" s="17"/>
    </row>
    <row r="235" spans="3:20" ht="12.75">
      <c r="C235" s="17"/>
      <c r="S235" s="17"/>
      <c r="T235" s="17"/>
    </row>
    <row r="236" spans="3:20" ht="12.75">
      <c r="C236" s="17"/>
      <c r="S236" s="17"/>
      <c r="T236" s="17"/>
    </row>
    <row r="237" spans="3:20" ht="12.75">
      <c r="C237" s="17"/>
      <c r="S237" s="17"/>
      <c r="T237" s="17"/>
    </row>
    <row r="238" spans="3:20" ht="12.75">
      <c r="C238" s="17"/>
      <c r="S238" s="17"/>
      <c r="T238" s="17"/>
    </row>
    <row r="239" spans="3:20" ht="12.75">
      <c r="C239" s="17"/>
      <c r="S239" s="17"/>
      <c r="T239" s="17"/>
    </row>
    <row r="240" spans="3:20" ht="12.75">
      <c r="C240" s="17"/>
      <c r="S240" s="17"/>
      <c r="T240" s="17"/>
    </row>
    <row r="241" spans="3:20" ht="12.75">
      <c r="C241" s="17"/>
      <c r="S241" s="17"/>
      <c r="T241" s="17"/>
    </row>
    <row r="242" spans="3:20" ht="12.75">
      <c r="C242" s="17"/>
      <c r="S242" s="17"/>
      <c r="T242" s="17"/>
    </row>
    <row r="243" spans="3:20" ht="12.75">
      <c r="C243" s="17"/>
      <c r="S243" s="17"/>
      <c r="T243" s="17"/>
    </row>
    <row r="244" spans="3:20" ht="12.75">
      <c r="C244" s="17"/>
      <c r="S244" s="17"/>
      <c r="T244" s="17"/>
    </row>
    <row r="245" spans="3:20" ht="12.75">
      <c r="C245" s="17"/>
      <c r="S245" s="17"/>
      <c r="T245" s="17"/>
    </row>
    <row r="246" spans="3:20" ht="12.75">
      <c r="C246" s="17"/>
      <c r="S246" s="17"/>
      <c r="T246" s="17"/>
    </row>
    <row r="247" spans="3:20" ht="12.75">
      <c r="C247" s="17"/>
      <c r="S247" s="17"/>
      <c r="T247" s="17"/>
    </row>
    <row r="248" spans="3:20" ht="12.75">
      <c r="C248" s="17"/>
      <c r="S248" s="17"/>
      <c r="T248" s="17"/>
    </row>
    <row r="249" spans="3:20" ht="12.75">
      <c r="C249" s="17"/>
      <c r="S249" s="17"/>
      <c r="T249" s="17"/>
    </row>
    <row r="250" spans="3:20" ht="12.75">
      <c r="C250" s="17"/>
      <c r="S250" s="17"/>
      <c r="T250" s="17"/>
    </row>
    <row r="251" spans="3:20" ht="12.75">
      <c r="C251" s="17"/>
      <c r="S251" s="17"/>
      <c r="T251" s="17"/>
    </row>
    <row r="252" spans="3:20" ht="12.75">
      <c r="C252" s="17"/>
      <c r="S252" s="17"/>
      <c r="T252" s="17"/>
    </row>
    <row r="253" spans="3:20" ht="12.75">
      <c r="C253" s="17"/>
      <c r="S253" s="17"/>
      <c r="T253" s="17"/>
    </row>
    <row r="254" spans="3:20" ht="12.75">
      <c r="C254" s="17"/>
      <c r="S254" s="17"/>
      <c r="T254" s="17"/>
    </row>
    <row r="255" spans="3:20" ht="12.75">
      <c r="C255" s="17"/>
      <c r="S255" s="17"/>
      <c r="T255" s="17"/>
    </row>
    <row r="256" spans="3:20" ht="12.75">
      <c r="C256" s="17"/>
      <c r="S256" s="17"/>
      <c r="T256" s="17"/>
    </row>
    <row r="257" spans="3:20" ht="12.75">
      <c r="C257" s="17"/>
      <c r="S257" s="17"/>
      <c r="T257" s="17"/>
    </row>
    <row r="258" spans="3:20" ht="12.75">
      <c r="C258" s="17"/>
      <c r="S258" s="17"/>
      <c r="T258" s="17"/>
    </row>
    <row r="259" spans="3:20" ht="12.75">
      <c r="C259" s="17"/>
      <c r="S259" s="17"/>
      <c r="T259" s="17"/>
    </row>
    <row r="260" spans="3:20" ht="12.75">
      <c r="C260" s="17"/>
      <c r="S260" s="17"/>
      <c r="T260" s="17"/>
    </row>
    <row r="261" spans="3:20" ht="12.75">
      <c r="C261" s="17"/>
      <c r="S261" s="17"/>
      <c r="T261" s="17"/>
    </row>
    <row r="262" spans="3:20" ht="12.75">
      <c r="C262" s="17"/>
      <c r="S262" s="17"/>
      <c r="T262" s="17"/>
    </row>
    <row r="263" spans="3:20" ht="12.75">
      <c r="C263" s="17"/>
      <c r="S263" s="17"/>
      <c r="T263" s="17"/>
    </row>
    <row r="264" spans="3:20" ht="12.75">
      <c r="C264" s="17"/>
      <c r="S264" s="17"/>
      <c r="T264" s="17"/>
    </row>
    <row r="265" spans="3:20" ht="12.75">
      <c r="C265" s="17"/>
      <c r="S265" s="17"/>
      <c r="T265" s="17"/>
    </row>
    <row r="266" spans="3:20" ht="12.75">
      <c r="C266" s="17"/>
      <c r="S266" s="17"/>
      <c r="T266" s="17"/>
    </row>
    <row r="267" spans="3:20" ht="12.75">
      <c r="C267" s="17"/>
      <c r="S267" s="17"/>
      <c r="T267" s="17"/>
    </row>
    <row r="268" spans="3:20" ht="12.75">
      <c r="C268" s="17"/>
      <c r="S268" s="17"/>
      <c r="T268" s="17"/>
    </row>
    <row r="269" spans="3:20" ht="12.75">
      <c r="C269" s="17"/>
      <c r="S269" s="17"/>
      <c r="T269" s="17"/>
    </row>
    <row r="270" spans="3:20" ht="12.75">
      <c r="C270" s="17"/>
      <c r="S270" s="17"/>
      <c r="T270" s="17"/>
    </row>
    <row r="271" spans="3:20" ht="12.75">
      <c r="C271" s="17"/>
      <c r="S271" s="17"/>
      <c r="T271" s="17"/>
    </row>
    <row r="272" spans="3:20" ht="12.75">
      <c r="C272" s="17"/>
      <c r="S272" s="17"/>
      <c r="T272" s="17"/>
    </row>
    <row r="273" spans="3:20" ht="12.75">
      <c r="C273" s="17"/>
      <c r="S273" s="17"/>
      <c r="T273" s="17"/>
    </row>
    <row r="274" spans="3:20" ht="12.75">
      <c r="C274" s="17"/>
      <c r="S274" s="17"/>
      <c r="T274" s="17"/>
    </row>
    <row r="275" spans="3:20" ht="12.75">
      <c r="C275" s="17"/>
      <c r="S275" s="17"/>
      <c r="T275" s="17"/>
    </row>
    <row r="276" spans="3:20" ht="12.75">
      <c r="C276" s="17"/>
      <c r="S276" s="17"/>
      <c r="T276" s="17"/>
    </row>
    <row r="277" ht="12.75">
      <c r="C277" s="17"/>
    </row>
    <row r="278" ht="12.75">
      <c r="C278" s="17"/>
    </row>
    <row r="279" ht="12.75">
      <c r="C279" s="17"/>
    </row>
    <row r="280" ht="12.75">
      <c r="C280" s="17"/>
    </row>
    <row r="281" ht="12.75">
      <c r="C281" s="17"/>
    </row>
    <row r="282" ht="12.75">
      <c r="C282" s="17"/>
    </row>
    <row r="283" ht="12.75">
      <c r="C283" s="17"/>
    </row>
    <row r="284" ht="12.75">
      <c r="C284" s="17"/>
    </row>
    <row r="285" ht="12.75">
      <c r="C285" s="17"/>
    </row>
    <row r="286" ht="12.75">
      <c r="C286" s="17"/>
    </row>
    <row r="287" ht="12.75">
      <c r="C287" s="17"/>
    </row>
    <row r="288" ht="12.75">
      <c r="C288" s="17"/>
    </row>
    <row r="289" ht="12.75">
      <c r="C289" s="17"/>
    </row>
    <row r="290" ht="12.75">
      <c r="C290" s="17"/>
    </row>
    <row r="291" ht="12.75">
      <c r="C291" s="17"/>
    </row>
    <row r="292" ht="12.75">
      <c r="C292" s="17"/>
    </row>
    <row r="293" ht="12.75">
      <c r="C293" s="17"/>
    </row>
    <row r="294" ht="12.75">
      <c r="C294" s="17"/>
    </row>
    <row r="295" ht="12.75">
      <c r="C295" s="17"/>
    </row>
    <row r="296" ht="12.75">
      <c r="C296" s="17"/>
    </row>
    <row r="297" ht="12.75">
      <c r="C297" s="17"/>
    </row>
    <row r="298" ht="12.75">
      <c r="C298" s="17"/>
    </row>
    <row r="299" ht="12.75">
      <c r="C299" s="17"/>
    </row>
    <row r="300" ht="12.75">
      <c r="C300" s="17"/>
    </row>
    <row r="301" ht="12.75">
      <c r="C301" s="17"/>
    </row>
    <row r="302" ht="12.75">
      <c r="C302" s="17"/>
    </row>
    <row r="303" ht="12.75">
      <c r="C303" s="17"/>
    </row>
    <row r="304" ht="12.75">
      <c r="C304" s="17"/>
    </row>
    <row r="305" ht="12.75">
      <c r="C305" s="17"/>
    </row>
    <row r="306" ht="12.75">
      <c r="C306" s="17"/>
    </row>
    <row r="307" ht="12.75">
      <c r="C307" s="17"/>
    </row>
    <row r="308" ht="12.75">
      <c r="C308" s="17"/>
    </row>
    <row r="309" ht="12.75">
      <c r="C309" s="17"/>
    </row>
    <row r="310" ht="12.75">
      <c r="C310" s="17"/>
    </row>
    <row r="311" ht="12.75">
      <c r="C311" s="17"/>
    </row>
    <row r="312" ht="12.75">
      <c r="C312" s="17"/>
    </row>
    <row r="313" ht="12.75">
      <c r="C313" s="17"/>
    </row>
    <row r="314" ht="12.75">
      <c r="C314" s="17"/>
    </row>
    <row r="315" ht="12.75">
      <c r="C315" s="17"/>
    </row>
    <row r="316" ht="12.75">
      <c r="C316" s="17"/>
    </row>
  </sheetData>
  <mergeCells count="13">
    <mergeCell ref="F2:F3"/>
    <mergeCell ref="L2:L3"/>
    <mergeCell ref="M2:M3"/>
    <mergeCell ref="N2:N3"/>
    <mergeCell ref="A2:A3"/>
    <mergeCell ref="B2:B3"/>
    <mergeCell ref="D2:D3"/>
    <mergeCell ref="E2:E3"/>
    <mergeCell ref="P2:P3"/>
    <mergeCell ref="G2:G3"/>
    <mergeCell ref="H2:H3"/>
    <mergeCell ref="R2:R3"/>
    <mergeCell ref="O2:O3"/>
  </mergeCells>
  <printOptions horizontalCentered="1"/>
  <pageMargins left="0.25" right="0.25" top="1" bottom="1" header="0.25" footer="0.25"/>
  <pageSetup fitToHeight="2" fitToWidth="1" horizontalDpi="600" verticalDpi="600" orientation="landscape" scale="39" r:id="rId1"/>
  <headerFooter alignWithMargins="0">
    <oddHeader>&amp;C&amp;22
ATTACHMENT 1
REASONABLE POTENTIAL ANALYSIS RESULTS&amp;R&amp;22Morton International, Inc.
Newark Facility
NPDES Permit 
</oddHeader>
    <oddFooter>&amp;C&amp;P of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62"/>
  <sheetViews>
    <sheetView workbookViewId="0" topLeftCell="A2">
      <pane xSplit="1" ySplit="2" topLeftCell="B4" activePane="bottomRight" state="frozen"/>
      <selection pane="topLeft" activeCell="A2" sqref="A2"/>
      <selection pane="topRight" activeCell="B2" sqref="B2"/>
      <selection pane="bottomLeft" activeCell="A4" sqref="A4"/>
      <selection pane="bottomRight" activeCell="B8" sqref="B8"/>
    </sheetView>
  </sheetViews>
  <sheetFormatPr defaultColWidth="9.140625" defaultRowHeight="12.75"/>
  <cols>
    <col min="1" max="1" width="45.140625" style="0" customWidth="1"/>
    <col min="2" max="2" width="9.57421875" style="0" customWidth="1"/>
    <col min="3" max="3" width="10.28125" style="0" customWidth="1"/>
    <col min="4" max="4" width="10.7109375" style="0" customWidth="1"/>
    <col min="5" max="5" width="10.57421875" style="0" customWidth="1"/>
    <col min="6" max="6" width="10.8515625" style="0" customWidth="1"/>
    <col min="7" max="7" width="15.140625" style="0" customWidth="1"/>
    <col min="8" max="8" width="11.140625" style="0" customWidth="1"/>
  </cols>
  <sheetData>
    <row r="1" spans="1:8" ht="12.75">
      <c r="A1" s="401" t="s">
        <v>190</v>
      </c>
      <c r="B1" s="24"/>
      <c r="C1" s="24"/>
      <c r="D1" s="24"/>
      <c r="E1" s="24"/>
      <c r="F1" s="24"/>
      <c r="G1" s="24"/>
      <c r="H1" s="24"/>
    </row>
    <row r="2" spans="1:8" ht="12.75">
      <c r="A2" s="24"/>
      <c r="B2" s="24"/>
      <c r="C2" s="24"/>
      <c r="D2" s="24"/>
      <c r="E2" s="24"/>
      <c r="F2" s="24"/>
      <c r="G2" s="24"/>
      <c r="H2" s="24"/>
    </row>
    <row r="3" spans="1:8" ht="36.75" thickBot="1">
      <c r="A3" s="524" t="s">
        <v>155</v>
      </c>
      <c r="B3" s="534" t="s">
        <v>239</v>
      </c>
      <c r="C3" s="534" t="s">
        <v>206</v>
      </c>
      <c r="D3" s="534" t="s">
        <v>209</v>
      </c>
      <c r="E3" s="535" t="s">
        <v>211</v>
      </c>
      <c r="F3" s="535" t="s">
        <v>212</v>
      </c>
      <c r="G3" s="537" t="s">
        <v>363</v>
      </c>
      <c r="H3" s="536" t="s">
        <v>361</v>
      </c>
    </row>
    <row r="4" spans="1:8" ht="26.25" thickTop="1">
      <c r="A4" s="525" t="s">
        <v>157</v>
      </c>
      <c r="B4" s="482" t="s">
        <v>352</v>
      </c>
      <c r="C4" s="482" t="s">
        <v>280</v>
      </c>
      <c r="D4" s="482" t="s">
        <v>362</v>
      </c>
      <c r="E4" s="483" t="s">
        <v>280</v>
      </c>
      <c r="F4" s="483" t="s">
        <v>293</v>
      </c>
      <c r="G4" s="483" t="s">
        <v>345</v>
      </c>
      <c r="H4" s="484" t="s">
        <v>325</v>
      </c>
    </row>
    <row r="5" spans="1:8" ht="12.75">
      <c r="A5" s="10" t="s">
        <v>158</v>
      </c>
      <c r="B5" s="485">
        <v>13</v>
      </c>
      <c r="C5" s="485">
        <v>8.5</v>
      </c>
      <c r="D5" s="485">
        <v>5</v>
      </c>
      <c r="E5" s="486">
        <v>91</v>
      </c>
      <c r="F5" s="487">
        <v>1</v>
      </c>
      <c r="G5" s="487">
        <v>5.9</v>
      </c>
      <c r="H5" s="488">
        <v>0.014</v>
      </c>
    </row>
    <row r="6" spans="1:8" ht="12.75">
      <c r="A6" s="10" t="s">
        <v>159</v>
      </c>
      <c r="B6" s="489"/>
      <c r="C6" s="489"/>
      <c r="D6" s="489"/>
      <c r="E6" s="489"/>
      <c r="F6" s="489"/>
      <c r="G6" s="489"/>
      <c r="H6" s="489"/>
    </row>
    <row r="7" spans="1:8" ht="12.75">
      <c r="A7" s="10" t="s">
        <v>160</v>
      </c>
      <c r="B7" s="490">
        <v>0</v>
      </c>
      <c r="C7" s="490">
        <v>0</v>
      </c>
      <c r="D7" s="490">
        <v>0</v>
      </c>
      <c r="E7" s="490">
        <v>0</v>
      </c>
      <c r="F7" s="490">
        <v>0</v>
      </c>
      <c r="G7" s="490">
        <v>0</v>
      </c>
      <c r="H7" s="490">
        <v>0</v>
      </c>
    </row>
    <row r="8" spans="1:8" ht="12.75">
      <c r="A8" s="10" t="s">
        <v>326</v>
      </c>
      <c r="B8" s="490">
        <v>4</v>
      </c>
      <c r="C8" s="490">
        <v>4</v>
      </c>
      <c r="D8" s="490">
        <v>4</v>
      </c>
      <c r="E8" s="490">
        <v>4</v>
      </c>
      <c r="F8" s="490">
        <v>4</v>
      </c>
      <c r="G8" s="490">
        <v>4</v>
      </c>
      <c r="H8" s="490">
        <v>4</v>
      </c>
    </row>
    <row r="9" spans="1:8" ht="12.75">
      <c r="A9" s="526" t="s">
        <v>279</v>
      </c>
      <c r="B9" s="490" t="s">
        <v>24</v>
      </c>
      <c r="C9" s="490" t="s">
        <v>24</v>
      </c>
      <c r="D9" s="490" t="s">
        <v>24</v>
      </c>
      <c r="E9" s="490" t="s">
        <v>24</v>
      </c>
      <c r="F9" s="490" t="s">
        <v>24</v>
      </c>
      <c r="G9" s="490" t="s">
        <v>25</v>
      </c>
      <c r="H9" s="490" t="s">
        <v>25</v>
      </c>
    </row>
    <row r="10" spans="1:8" ht="12.75">
      <c r="A10" s="527" t="s">
        <v>161</v>
      </c>
      <c r="B10" s="490" t="s">
        <v>25</v>
      </c>
      <c r="C10" s="490" t="s">
        <v>25</v>
      </c>
      <c r="D10" s="490" t="s">
        <v>25</v>
      </c>
      <c r="E10" s="490" t="s">
        <v>25</v>
      </c>
      <c r="F10" s="490" t="s">
        <v>24</v>
      </c>
      <c r="G10" s="490" t="s">
        <v>24</v>
      </c>
      <c r="H10" s="490" t="s">
        <v>24</v>
      </c>
    </row>
    <row r="11" spans="1:8" ht="12.75">
      <c r="A11" s="10"/>
      <c r="B11" s="490"/>
      <c r="C11" s="490"/>
      <c r="D11" s="490"/>
      <c r="E11" s="490"/>
      <c r="F11" s="490"/>
      <c r="G11" s="490"/>
      <c r="H11" s="490"/>
    </row>
    <row r="12" spans="1:8" ht="12.75">
      <c r="A12" s="526" t="s">
        <v>162</v>
      </c>
      <c r="B12" s="491">
        <v>20.4</v>
      </c>
      <c r="C12" s="15">
        <v>221</v>
      </c>
      <c r="D12" s="492">
        <v>20</v>
      </c>
      <c r="E12" s="493">
        <v>100</v>
      </c>
      <c r="F12" s="15">
        <v>1</v>
      </c>
      <c r="G12" s="15"/>
      <c r="H12" s="488"/>
    </row>
    <row r="13" spans="1:8" ht="12.75">
      <c r="A13" s="526" t="s">
        <v>163</v>
      </c>
      <c r="B13" s="491">
        <v>13</v>
      </c>
      <c r="C13" s="15">
        <v>8.5</v>
      </c>
      <c r="D13" s="492">
        <v>5</v>
      </c>
      <c r="E13" s="493">
        <v>91</v>
      </c>
      <c r="F13" s="494">
        <v>1</v>
      </c>
      <c r="G13" s="494"/>
      <c r="H13" s="487"/>
    </row>
    <row r="14" spans="1:8" ht="12.75">
      <c r="A14" s="527" t="s">
        <v>164</v>
      </c>
      <c r="B14" s="490"/>
      <c r="C14" s="490"/>
      <c r="D14" s="490"/>
      <c r="E14" s="494"/>
      <c r="F14" s="495">
        <v>220000</v>
      </c>
      <c r="G14" s="496">
        <v>5.9</v>
      </c>
      <c r="H14" s="488">
        <v>0.014</v>
      </c>
    </row>
    <row r="15" spans="1:8" ht="12.75">
      <c r="A15" s="526" t="s">
        <v>327</v>
      </c>
      <c r="B15" s="490">
        <v>2.45</v>
      </c>
      <c r="C15" s="490">
        <v>0.8</v>
      </c>
      <c r="D15" s="490">
        <v>0.0516</v>
      </c>
      <c r="E15" s="490">
        <v>4.4</v>
      </c>
      <c r="F15" s="490">
        <v>0.4</v>
      </c>
      <c r="G15" s="490"/>
      <c r="H15" s="490"/>
    </row>
    <row r="16" spans="1:8" ht="12.75">
      <c r="A16" s="527" t="s">
        <v>165</v>
      </c>
      <c r="B16" s="490"/>
      <c r="C16" s="490"/>
      <c r="D16" s="497"/>
      <c r="E16" s="497"/>
      <c r="F16" s="485">
        <v>0.4</v>
      </c>
      <c r="G16" s="485"/>
      <c r="H16" s="498">
        <v>0.03165</v>
      </c>
    </row>
    <row r="17" spans="1:8" ht="12.75">
      <c r="A17" s="10" t="s">
        <v>166</v>
      </c>
      <c r="B17" s="490" t="s">
        <v>25</v>
      </c>
      <c r="C17" s="490" t="s">
        <v>25</v>
      </c>
      <c r="D17" s="490" t="s">
        <v>25</v>
      </c>
      <c r="E17" s="490" t="s">
        <v>25</v>
      </c>
      <c r="F17" s="490" t="s">
        <v>25</v>
      </c>
      <c r="G17" s="490" t="s">
        <v>25</v>
      </c>
      <c r="H17" s="490" t="s">
        <v>24</v>
      </c>
    </row>
    <row r="18" spans="1:8" ht="12.75">
      <c r="A18" s="10"/>
      <c r="B18" s="490"/>
      <c r="C18" s="490"/>
      <c r="D18" s="490"/>
      <c r="E18" s="490"/>
      <c r="F18" s="490"/>
      <c r="G18" s="490"/>
      <c r="H18" s="490"/>
    </row>
    <row r="19" spans="1:8" ht="12.75">
      <c r="A19" s="526" t="s">
        <v>167</v>
      </c>
      <c r="B19" s="499">
        <f aca="true" t="shared" si="0" ref="B19:H19">IF(B9="Y",IF(B12="","No Acute WQO",IF(B15="",B12,IF(B12&lt;=B15,B12,IF(B17="Y",B12,IF(B17="N",IF(B7="",B12,B12+B7*(B12-B15)),"Enter Y/N for bioaccumulative"))))),IF(B9="N","","Enter Y/N for 'Aq life criteria reqd?'"))</f>
        <v>20.4</v>
      </c>
      <c r="C19" s="499">
        <f t="shared" si="0"/>
        <v>221</v>
      </c>
      <c r="D19" s="499">
        <f t="shared" si="0"/>
        <v>20</v>
      </c>
      <c r="E19" s="499">
        <f t="shared" si="0"/>
        <v>100</v>
      </c>
      <c r="F19" s="499">
        <f t="shared" si="0"/>
        <v>1</v>
      </c>
      <c r="G19" s="499">
        <f>IF(G9="Y",IF(G12="","No Acute WQO",IF(G15="",G12,IF(G12&lt;=G15,G12,IF(G17="Y",G12,IF(G17="N",IF(G7="",G12,G12+G7*(G12-G15)),"Enter Y/N for bioaccumulative"))))),IF(G9="N","","Enter Y/N for 'Aq life criteria reqd?'"))</f>
      </c>
      <c r="H19" s="499">
        <f t="shared" si="0"/>
      </c>
    </row>
    <row r="20" spans="1:8" ht="12.75">
      <c r="A20" s="526" t="s">
        <v>168</v>
      </c>
      <c r="B20" s="499">
        <f aca="true" t="shared" si="1" ref="B20:H20">IF(B9="Y",IF(B13="","No Chronic WQO",IF(B15="",B13,IF(B13&lt;=B15,B13,IF(B17="Y",B13,IF(B17="N",IF(B7="",B13,B13+B7*(B13-B15)),"Enter Y/N for bioaccumulative"))))),IF(B9="N","","Enter Y/N for 'Aq life criteria reqd?'"))</f>
        <v>13</v>
      </c>
      <c r="C20" s="499">
        <f t="shared" si="1"/>
        <v>8.5</v>
      </c>
      <c r="D20" s="500">
        <f t="shared" si="1"/>
        <v>5</v>
      </c>
      <c r="E20" s="499">
        <f t="shared" si="1"/>
        <v>91</v>
      </c>
      <c r="F20" s="499">
        <f t="shared" si="1"/>
        <v>1</v>
      </c>
      <c r="G20" s="499">
        <f>IF(G9="Y",IF(G13="","No Chronic WQO",IF(G15="",G13,IF(G13&lt;=G15,G13,IF(G17="Y",G13,IF(G17="N",IF(G7="",G13,G13+G7*(G13-G15)),"Enter Y/N for bioaccumulative"))))),IF(G9="N","","Enter Y/N for 'Aq life criteria reqd?'"))</f>
      </c>
      <c r="H20" s="499">
        <f t="shared" si="1"/>
      </c>
    </row>
    <row r="21" spans="1:8" ht="12.75">
      <c r="A21" s="527" t="s">
        <v>169</v>
      </c>
      <c r="B21" s="499">
        <f aca="true" t="shared" si="2" ref="B21:H21">IF(B10="Y",IF(B14="","Enter HH criteria",IF(B16="",B14,IF(B14&lt;=B16,B14,IF(B17="Y",B14,IF(B17="N",IF(B7="",B14,B14+B7*(B14-B16)),"Enter Y/N for bioaccumulative"))))),IF(B10="N","","Enter Y/N for 'HH criteria reqd?'"))</f>
      </c>
      <c r="C21" s="499">
        <f t="shared" si="2"/>
      </c>
      <c r="D21" s="501">
        <f t="shared" si="2"/>
      </c>
      <c r="E21" s="501">
        <f t="shared" si="2"/>
      </c>
      <c r="F21" s="501">
        <f t="shared" si="2"/>
        <v>220000</v>
      </c>
      <c r="G21" s="501">
        <f t="shared" si="2"/>
        <v>5.9</v>
      </c>
      <c r="H21" s="501">
        <f t="shared" si="2"/>
        <v>0.014</v>
      </c>
    </row>
    <row r="22" spans="1:8" ht="12.75">
      <c r="A22" s="10"/>
      <c r="B22" s="490"/>
      <c r="C22" s="490"/>
      <c r="D22" s="490"/>
      <c r="E22" s="490"/>
      <c r="F22" s="490"/>
      <c r="G22" s="490"/>
      <c r="H22" s="490"/>
    </row>
    <row r="23" spans="1:8" ht="25.5">
      <c r="A23" s="528" t="s">
        <v>281</v>
      </c>
      <c r="B23" s="497" t="s">
        <v>24</v>
      </c>
      <c r="C23" s="497" t="s">
        <v>25</v>
      </c>
      <c r="D23" s="497" t="s">
        <v>24</v>
      </c>
      <c r="E23" s="497" t="s">
        <v>25</v>
      </c>
      <c r="F23" s="497" t="s">
        <v>24</v>
      </c>
      <c r="G23" s="497" t="s">
        <v>24</v>
      </c>
      <c r="H23" s="497" t="s">
        <v>24</v>
      </c>
    </row>
    <row r="24" spans="1:8" ht="12.75">
      <c r="A24" s="10" t="s">
        <v>328</v>
      </c>
      <c r="B24" s="488"/>
      <c r="C24" s="502">
        <f>'Data and CV calcs'!E26</f>
        <v>12.0440625</v>
      </c>
      <c r="D24" s="497"/>
      <c r="E24" s="488">
        <f>'Data and CV calcs'!N26</f>
        <v>21.529411764705884</v>
      </c>
      <c r="F24" s="488"/>
      <c r="G24" s="488"/>
      <c r="H24" s="488"/>
    </row>
    <row r="25" spans="1:8" ht="12.75">
      <c r="A25" s="10" t="s">
        <v>329</v>
      </c>
      <c r="B25" s="497"/>
      <c r="C25" s="502">
        <f>'Data and CV calcs'!E27</f>
        <v>28.851671194736134</v>
      </c>
      <c r="D25" s="497"/>
      <c r="E25" s="488">
        <f>'Data and CV calcs'!N27</f>
        <v>28.040985955960124</v>
      </c>
      <c r="F25" s="488"/>
      <c r="G25" s="488"/>
      <c r="H25" s="488"/>
    </row>
    <row r="26" spans="1:8" ht="12.75">
      <c r="A26" s="10" t="s">
        <v>170</v>
      </c>
      <c r="B26" s="503" t="str">
        <f aca="true" t="shared" si="3" ref="B26:H26">IF(B23="N",IF(B24="","Enter avg of data points",IF(B25="","Enter SD",B25/B24)),IF(B23="Y","N/A","Enter Y/N in Row 23"))</f>
        <v>N/A</v>
      </c>
      <c r="C26" s="503">
        <f t="shared" si="3"/>
        <v>2.3955099199075174</v>
      </c>
      <c r="D26" s="503" t="str">
        <f t="shared" si="3"/>
        <v>N/A</v>
      </c>
      <c r="E26" s="503">
        <f t="shared" si="3"/>
        <v>1.302450167353339</v>
      </c>
      <c r="F26" s="503" t="str">
        <f t="shared" si="3"/>
        <v>N/A</v>
      </c>
      <c r="G26" s="503" t="str">
        <f t="shared" si="3"/>
        <v>N/A</v>
      </c>
      <c r="H26" s="503" t="str">
        <f t="shared" si="3"/>
        <v>N/A</v>
      </c>
    </row>
    <row r="27" spans="1:8" ht="12.75">
      <c r="A27" s="10" t="s">
        <v>171</v>
      </c>
      <c r="B27" s="504">
        <f aca="true" t="shared" si="4" ref="B27:H27">IF(B23="Y",0.6,B26)</f>
        <v>0.6</v>
      </c>
      <c r="C27" s="504">
        <f t="shared" si="4"/>
        <v>2.3955099199075174</v>
      </c>
      <c r="D27" s="504">
        <f t="shared" si="4"/>
        <v>0.6</v>
      </c>
      <c r="E27" s="504">
        <f t="shared" si="4"/>
        <v>1.302450167353339</v>
      </c>
      <c r="F27" s="504">
        <f t="shared" si="4"/>
        <v>0.6</v>
      </c>
      <c r="G27" s="504">
        <f t="shared" si="4"/>
        <v>0.6</v>
      </c>
      <c r="H27" s="504">
        <f t="shared" si="4"/>
        <v>0.6</v>
      </c>
    </row>
    <row r="28" spans="1:8" ht="12.75">
      <c r="A28" s="10"/>
      <c r="B28" s="501"/>
      <c r="C28" s="501"/>
      <c r="D28" s="501"/>
      <c r="E28" s="501"/>
      <c r="F28" s="501"/>
      <c r="G28" s="501"/>
      <c r="H28" s="501"/>
    </row>
    <row r="29" spans="1:8" ht="12.75">
      <c r="A29" s="155" t="s">
        <v>172</v>
      </c>
      <c r="B29" s="505">
        <f aca="true" t="shared" si="5" ref="B29:H29">IF(B9="Y",IF(ISTEXT(B27),"",EXP(0.5*LN((B27^2)+1)-2.326*(LN((B27^2)+1))^0.5)),"")</f>
        <v>0.32108321379047927</v>
      </c>
      <c r="C29" s="505">
        <f t="shared" si="5"/>
        <v>0.10447001128128186</v>
      </c>
      <c r="D29" s="505">
        <f t="shared" si="5"/>
        <v>0.32108321379047927</v>
      </c>
      <c r="E29" s="505">
        <f t="shared" si="5"/>
        <v>0.16192590414481756</v>
      </c>
      <c r="F29" s="505">
        <f t="shared" si="5"/>
        <v>0.32108321379047927</v>
      </c>
      <c r="G29" s="505">
        <f>IF(G9="Y",IF(ISTEXT(G27),"",EXP(0.5*LN((G27^2)+1)-2.326*(LN((G27^2)+1))^0.5)),"")</f>
      </c>
      <c r="H29" s="505">
        <f t="shared" si="5"/>
      </c>
    </row>
    <row r="30" spans="1:8" ht="12.75">
      <c r="A30" s="155" t="s">
        <v>173</v>
      </c>
      <c r="B30" s="505">
        <f aca="true" t="shared" si="6" ref="B30:H30">IF(B9="Y",IF(ISTEXT(B27),"",EXP(0.5*LN(((B27^2)/4)+1)-2.326*(LN(((B27^2)/4)+1))^0.5)),"")</f>
        <v>0.527433444097936</v>
      </c>
      <c r="C30" s="505">
        <f t="shared" si="6"/>
        <v>0.17391481019828373</v>
      </c>
      <c r="D30" s="505">
        <f t="shared" si="6"/>
        <v>0.527433444097936</v>
      </c>
      <c r="E30" s="505">
        <f t="shared" si="6"/>
        <v>0.2993189018474127</v>
      </c>
      <c r="F30" s="505">
        <f t="shared" si="6"/>
        <v>0.527433444097936</v>
      </c>
      <c r="G30" s="505">
        <f>IF(G9="Y",IF(ISTEXT(G27),"",EXP(0.5*LN(((G27^2)/4)+1)-2.326*(LN(((G27^2)/4)+1))^0.5)),"")</f>
      </c>
      <c r="H30" s="505">
        <f t="shared" si="6"/>
      </c>
    </row>
    <row r="31" spans="1:8" ht="12.75">
      <c r="A31" s="10" t="s">
        <v>174</v>
      </c>
      <c r="B31" s="505">
        <f aca="true" t="shared" si="7" ref="B31:H31">IF(B9="Y",IF(ISTEXT(B19),"",IF(B29="","",B19*B29)),"")</f>
        <v>6.550097561325777</v>
      </c>
      <c r="C31" s="505">
        <f t="shared" si="7"/>
        <v>23.087872493163292</v>
      </c>
      <c r="D31" s="505">
        <f t="shared" si="7"/>
        <v>6.421664275809586</v>
      </c>
      <c r="E31" s="505">
        <f t="shared" si="7"/>
        <v>16.192590414481757</v>
      </c>
      <c r="F31" s="505">
        <f t="shared" si="7"/>
        <v>0.32108321379047927</v>
      </c>
      <c r="G31" s="505">
        <f>IF(G9="Y",IF(ISTEXT(G19),"",IF(G29="","",G19*G29)),"")</f>
      </c>
      <c r="H31" s="505">
        <f t="shared" si="7"/>
      </c>
    </row>
    <row r="32" spans="1:8" ht="12.75">
      <c r="A32" s="10" t="s">
        <v>175</v>
      </c>
      <c r="B32" s="505">
        <f aca="true" t="shared" si="8" ref="B32:H32">IF(B9="Y",IF(ISTEXT(B20),"",IF(B30="","",B20*B30)),"")</f>
        <v>6.856634773273168</v>
      </c>
      <c r="C32" s="505">
        <f t="shared" si="8"/>
        <v>1.4782758866854118</v>
      </c>
      <c r="D32" s="505">
        <f t="shared" si="8"/>
        <v>2.63716722048968</v>
      </c>
      <c r="E32" s="505">
        <f t="shared" si="8"/>
        <v>27.238020068114558</v>
      </c>
      <c r="F32" s="505">
        <f t="shared" si="8"/>
        <v>0.527433444097936</v>
      </c>
      <c r="G32" s="505">
        <f>IF(G9="Y",IF(ISTEXT(G20),"",IF(G30="","",G20*G30)),"")</f>
      </c>
      <c r="H32" s="505">
        <f t="shared" si="8"/>
      </c>
    </row>
    <row r="33" spans="1:8" ht="12.75">
      <c r="A33" s="10" t="s">
        <v>176</v>
      </c>
      <c r="B33" s="505">
        <f aca="true" t="shared" si="9" ref="B33:H33">IF(B9="Y",MIN(B31:B32),"")</f>
        <v>6.550097561325777</v>
      </c>
      <c r="C33" s="505">
        <f t="shared" si="9"/>
        <v>1.4782758866854118</v>
      </c>
      <c r="D33" s="505">
        <f t="shared" si="9"/>
        <v>2.63716722048968</v>
      </c>
      <c r="E33" s="505">
        <f t="shared" si="9"/>
        <v>16.192590414481757</v>
      </c>
      <c r="F33" s="505">
        <f t="shared" si="9"/>
        <v>0.32108321379047927</v>
      </c>
      <c r="G33" s="505">
        <f t="shared" si="9"/>
      </c>
      <c r="H33" s="505">
        <f t="shared" si="9"/>
      </c>
    </row>
    <row r="34" spans="1:8" ht="12.75">
      <c r="A34" s="10"/>
      <c r="B34" s="505"/>
      <c r="C34" s="505"/>
      <c r="D34" s="505"/>
      <c r="E34" s="505"/>
      <c r="F34" s="505"/>
      <c r="G34" s="505"/>
      <c r="H34" s="505"/>
    </row>
    <row r="35" spans="1:8" ht="12.75">
      <c r="A35" s="10" t="s">
        <v>177</v>
      </c>
      <c r="B35" s="505">
        <f aca="true" t="shared" si="10" ref="B35:H35">IF(ISTEXT(B27),"",EXP(1.645*(LN(((B27^2)/B8)+1))^0.5-0.5*LN(((B27^2)/B8)+1)))</f>
        <v>1.5524246137530893</v>
      </c>
      <c r="C35" s="505">
        <f t="shared" si="10"/>
        <v>3.0246990105810907</v>
      </c>
      <c r="D35" s="505">
        <f t="shared" si="10"/>
        <v>1.5524246137530893</v>
      </c>
      <c r="E35" s="505">
        <f t="shared" si="10"/>
        <v>2.228504441900974</v>
      </c>
      <c r="F35" s="505">
        <f t="shared" si="10"/>
        <v>1.5524246137530893</v>
      </c>
      <c r="G35" s="505">
        <f>IF(ISTEXT(G27),"",EXP(1.645*(LN(((G27^2)/G8)+1))^0.5-0.5*LN(((G27^2)/G8)+1)))</f>
        <v>1.5524246137530893</v>
      </c>
      <c r="H35" s="505">
        <f t="shared" si="10"/>
        <v>1.5524246137530893</v>
      </c>
    </row>
    <row r="36" spans="1:8" ht="12.75">
      <c r="A36" s="10" t="s">
        <v>178</v>
      </c>
      <c r="B36" s="505">
        <f aca="true" t="shared" si="11" ref="B36:H36">IF(ISTEXT(B27),"",EXP(2.326*(LN((B27^2)+1))^0.5-0.5*LN((B27^2)+1)))</f>
        <v>3.1144574273899703</v>
      </c>
      <c r="C36" s="505">
        <f t="shared" si="11"/>
        <v>9.572124935523696</v>
      </c>
      <c r="D36" s="505">
        <f t="shared" si="11"/>
        <v>3.1144574273899703</v>
      </c>
      <c r="E36" s="505">
        <f t="shared" si="11"/>
        <v>6.175664142691186</v>
      </c>
      <c r="F36" s="505">
        <f t="shared" si="11"/>
        <v>3.1144574273899703</v>
      </c>
      <c r="G36" s="505">
        <f>IF(ISTEXT(G27),"",EXP(2.326*(LN((G27^2)+1))^0.5-0.5*LN((G27^2)+1)))</f>
        <v>3.1144574273899703</v>
      </c>
      <c r="H36" s="505">
        <f t="shared" si="11"/>
        <v>3.1144574273899703</v>
      </c>
    </row>
    <row r="37" spans="1:8" ht="12.75">
      <c r="A37" s="10" t="s">
        <v>179</v>
      </c>
      <c r="B37" s="505">
        <f aca="true" t="shared" si="12" ref="B37:H37">IF(B9="Y",IF(B33="","",IF(B35="","",B33*B35)),"")</f>
        <v>10.16853267668622</v>
      </c>
      <c r="C37" s="505">
        <f t="shared" si="12"/>
        <v>4.471339611823249</v>
      </c>
      <c r="D37" s="505">
        <f t="shared" si="12"/>
        <v>4.094003303670999</v>
      </c>
      <c r="E37" s="505">
        <f t="shared" si="12"/>
        <v>36.08525966455573</v>
      </c>
      <c r="F37" s="505">
        <f t="shared" si="12"/>
        <v>0.4984574841512854</v>
      </c>
      <c r="G37" s="505">
        <f>IF(G9="Y",IF(G33="","",IF(G35="","",G33*G35)),"")</f>
      </c>
      <c r="H37" s="505">
        <f t="shared" si="12"/>
      </c>
    </row>
    <row r="38" spans="1:8" ht="12.75">
      <c r="A38" s="10" t="s">
        <v>180</v>
      </c>
      <c r="B38" s="505">
        <f aca="true" t="shared" si="13" ref="B38:H38">IF(B9="Y",IF(B33="","",IF(B36="","",B33*B36)),"")</f>
        <v>20.4</v>
      </c>
      <c r="C38" s="505">
        <f t="shared" si="13"/>
        <v>14.150241476524831</v>
      </c>
      <c r="D38" s="505">
        <f t="shared" si="13"/>
        <v>8.213345037123448</v>
      </c>
      <c r="E38" s="505">
        <f t="shared" si="13"/>
        <v>100</v>
      </c>
      <c r="F38" s="505">
        <f t="shared" si="13"/>
        <v>0.9999999999999999</v>
      </c>
      <c r="G38" s="505">
        <f>IF(G9="Y",IF(G33="","",IF(G36="","",G33*G36)),"")</f>
      </c>
      <c r="H38" s="505">
        <f t="shared" si="13"/>
      </c>
    </row>
    <row r="39" spans="1:8" ht="12.75">
      <c r="A39" s="529"/>
      <c r="B39" s="505"/>
      <c r="C39" s="505"/>
      <c r="D39" s="505"/>
      <c r="E39" s="505"/>
      <c r="F39" s="505"/>
      <c r="G39" s="505"/>
      <c r="H39" s="505"/>
    </row>
    <row r="40" spans="1:8" ht="12.75">
      <c r="A40" s="530" t="s">
        <v>181</v>
      </c>
      <c r="B40" s="505">
        <f aca="true" t="shared" si="14" ref="B40:H40">IF(B36="","",IF(B35="","",B36/B35))</f>
        <v>2.006189157140818</v>
      </c>
      <c r="C40" s="505">
        <f t="shared" si="14"/>
        <v>3.1646537067120426</v>
      </c>
      <c r="D40" s="505">
        <f t="shared" si="14"/>
        <v>2.006189157140818</v>
      </c>
      <c r="E40" s="505">
        <f t="shared" si="14"/>
        <v>2.7712146435854437</v>
      </c>
      <c r="F40" s="505">
        <f t="shared" si="14"/>
        <v>2.006189157140818</v>
      </c>
      <c r="G40" s="505">
        <f>IF(G36="","",IF(G35="","",G36/G35))</f>
        <v>2.006189157140818</v>
      </c>
      <c r="H40" s="505">
        <f t="shared" si="14"/>
        <v>2.006189157140818</v>
      </c>
    </row>
    <row r="41" spans="1:8" ht="12.75">
      <c r="A41" s="10" t="s">
        <v>182</v>
      </c>
      <c r="B41" s="506">
        <f aca="true" t="shared" si="15" ref="B41:H41">B21</f>
      </c>
      <c r="C41" s="506">
        <f t="shared" si="15"/>
      </c>
      <c r="D41" s="507">
        <f t="shared" si="15"/>
      </c>
      <c r="E41" s="507">
        <f t="shared" si="15"/>
      </c>
      <c r="F41" s="507">
        <f t="shared" si="15"/>
        <v>220000</v>
      </c>
      <c r="G41" s="508">
        <f>G21</f>
        <v>5.9</v>
      </c>
      <c r="H41" s="503">
        <f t="shared" si="15"/>
        <v>0.014</v>
      </c>
    </row>
    <row r="42" spans="1:8" ht="12.75">
      <c r="A42" s="10" t="s">
        <v>183</v>
      </c>
      <c r="B42" s="506">
        <f aca="true" t="shared" si="16" ref="B42:H42">IF(B41="","",B41*B40)</f>
      </c>
      <c r="C42" s="506">
        <f t="shared" si="16"/>
      </c>
      <c r="D42" s="507">
        <f t="shared" si="16"/>
      </c>
      <c r="E42" s="507">
        <f t="shared" si="16"/>
      </c>
      <c r="F42" s="507">
        <f t="shared" si="16"/>
        <v>441361.61457098</v>
      </c>
      <c r="G42" s="508">
        <f t="shared" si="16"/>
        <v>11.836516027130827</v>
      </c>
      <c r="H42" s="503">
        <f t="shared" si="16"/>
        <v>0.028086648199971455</v>
      </c>
    </row>
    <row r="43" spans="1:8" ht="12.75">
      <c r="A43" s="10"/>
      <c r="B43" s="499"/>
      <c r="C43" s="499"/>
      <c r="D43" s="507"/>
      <c r="E43" s="507"/>
      <c r="F43" s="507"/>
      <c r="G43" s="507"/>
      <c r="H43" s="507"/>
    </row>
    <row r="44" spans="1:8" ht="12.75">
      <c r="A44" s="10" t="s">
        <v>184</v>
      </c>
      <c r="B44" s="508">
        <f aca="true" t="shared" si="17" ref="B44:H44">IF(B9="Y",IF(B10="Y",MIN(B37,B41),IF(B10="N",B37,"check Y/N input for HH criteria")),IF(B9="N",IF(B10="Y",B41,IF(B10="N","No Aq/HH criteria","Check Y/N input for HH criteria")),"Check Y/N input for Aq/HH criteria"))</f>
        <v>10.16853267668622</v>
      </c>
      <c r="C44" s="508">
        <f t="shared" si="17"/>
        <v>4.471339611823249</v>
      </c>
      <c r="D44" s="508">
        <f t="shared" si="17"/>
        <v>4.094003303670999</v>
      </c>
      <c r="E44" s="508">
        <f t="shared" si="17"/>
        <v>36.08525966455573</v>
      </c>
      <c r="F44" s="508">
        <f t="shared" si="17"/>
        <v>0.4984574841512854</v>
      </c>
      <c r="G44" s="508">
        <f>IF(G9="Y",IF(G10="Y",MIN(G37,G41),IF(G10="N",G37,"check Y/N input for HH criteria")),IF(G9="N",IF(G10="Y",G41,IF(G10="N","No Aq/HH criteria","Check Y/N input for HH criteria")),"Check Y/N input for Aq/HH criteria"))</f>
        <v>5.9</v>
      </c>
      <c r="H44" s="503">
        <f t="shared" si="17"/>
        <v>0.014</v>
      </c>
    </row>
    <row r="45" spans="1:8" ht="12.75">
      <c r="A45" s="531" t="s">
        <v>185</v>
      </c>
      <c r="B45" s="508">
        <f aca="true" t="shared" si="18" ref="B45:H45">IF(B9="Y",IF(B10="Y",MIN(B38,B42),IF(B10="N",B38,"check Y/N input for HH criteria")),IF(B9="N",IF(B10="Y",B42,IF(B10="N","No Aq/HH criteria","Check Y/N input for HH criteria")),"Check Y/N input for Aq/HH criteria"))</f>
        <v>20.4</v>
      </c>
      <c r="C45" s="508">
        <f t="shared" si="18"/>
        <v>14.150241476524831</v>
      </c>
      <c r="D45" s="508">
        <f t="shared" si="18"/>
        <v>8.213345037123448</v>
      </c>
      <c r="E45" s="508">
        <f t="shared" si="18"/>
        <v>100</v>
      </c>
      <c r="F45" s="508">
        <f t="shared" si="18"/>
        <v>0.9999999999999999</v>
      </c>
      <c r="G45" s="508">
        <f>IF(G9="Y",IF(G10="Y",MIN(G38,G42),IF(G10="N",G38,"check Y/N input for HH criteria")),IF(G9="N",IF(G10="Y",G42,IF(G10="N","No Aq/HH criteria","Check Y/N input for HH criteria")),"Check Y/N input for Aq/HH criteria"))</f>
        <v>11.836516027130827</v>
      </c>
      <c r="H45" s="503">
        <f t="shared" si="18"/>
        <v>0.028086648199971455</v>
      </c>
    </row>
    <row r="46" spans="1:8" ht="12.75">
      <c r="A46" s="531" t="s">
        <v>330</v>
      </c>
      <c r="B46" s="490" t="s">
        <v>331</v>
      </c>
      <c r="C46" s="490" t="s">
        <v>331</v>
      </c>
      <c r="D46" s="490" t="s">
        <v>331</v>
      </c>
      <c r="E46" s="509" t="s">
        <v>331</v>
      </c>
      <c r="F46" s="509" t="s">
        <v>331</v>
      </c>
      <c r="G46" s="509" t="s">
        <v>331</v>
      </c>
      <c r="H46" s="509" t="s">
        <v>331</v>
      </c>
    </row>
    <row r="47" spans="1:8" ht="12.75">
      <c r="A47" s="531" t="s">
        <v>332</v>
      </c>
      <c r="B47" s="490" t="s">
        <v>331</v>
      </c>
      <c r="C47" s="490" t="s">
        <v>331</v>
      </c>
      <c r="D47" s="490" t="s">
        <v>331</v>
      </c>
      <c r="E47" s="490" t="s">
        <v>331</v>
      </c>
      <c r="F47" s="490" t="s">
        <v>331</v>
      </c>
      <c r="G47" s="490" t="s">
        <v>331</v>
      </c>
      <c r="H47" s="509" t="s">
        <v>331</v>
      </c>
    </row>
    <row r="48" spans="1:8" ht="12.75">
      <c r="A48" s="531"/>
      <c r="B48" s="510"/>
      <c r="C48" s="510"/>
      <c r="D48" s="510"/>
      <c r="E48" s="511"/>
      <c r="F48" s="511"/>
      <c r="G48" s="511"/>
      <c r="H48" s="511"/>
    </row>
    <row r="49" spans="1:8" ht="12.75">
      <c r="A49" s="531" t="s">
        <v>333</v>
      </c>
      <c r="B49" s="508">
        <f aca="true" t="shared" si="19" ref="B49:E50">B44</f>
        <v>10.16853267668622</v>
      </c>
      <c r="C49" s="508">
        <f>C44</f>
        <v>4.471339611823249</v>
      </c>
      <c r="D49" s="508">
        <f t="shared" si="19"/>
        <v>4.094003303670999</v>
      </c>
      <c r="E49" s="508">
        <f t="shared" si="19"/>
        <v>36.08525966455573</v>
      </c>
      <c r="F49" s="508">
        <f aca="true" t="shared" si="20" ref="F49:H50">F44</f>
        <v>0.4984574841512854</v>
      </c>
      <c r="G49" s="508">
        <f t="shared" si="20"/>
        <v>5.9</v>
      </c>
      <c r="H49" s="503">
        <f t="shared" si="20"/>
        <v>0.014</v>
      </c>
    </row>
    <row r="50" spans="1:8" ht="12.75">
      <c r="A50" s="531" t="s">
        <v>334</v>
      </c>
      <c r="B50" s="508">
        <f t="shared" si="19"/>
        <v>20.4</v>
      </c>
      <c r="C50" s="508">
        <f t="shared" si="19"/>
        <v>14.150241476524831</v>
      </c>
      <c r="D50" s="508">
        <f t="shared" si="19"/>
        <v>8.213345037123448</v>
      </c>
      <c r="E50" s="508">
        <f>E45</f>
        <v>100</v>
      </c>
      <c r="F50" s="508">
        <f t="shared" si="20"/>
        <v>0.9999999999999999</v>
      </c>
      <c r="G50" s="508">
        <f t="shared" si="20"/>
        <v>11.836516027130827</v>
      </c>
      <c r="H50" s="503">
        <f t="shared" si="20"/>
        <v>0.028086648199971455</v>
      </c>
    </row>
    <row r="51" spans="1:8" ht="12.75">
      <c r="A51" s="531" t="s">
        <v>262</v>
      </c>
      <c r="B51" s="512">
        <v>46.1</v>
      </c>
      <c r="C51" s="512">
        <v>110</v>
      </c>
      <c r="D51" s="513">
        <v>41</v>
      </c>
      <c r="E51" s="514">
        <v>113</v>
      </c>
      <c r="F51" s="515" t="s">
        <v>320</v>
      </c>
      <c r="G51" s="515" t="s">
        <v>320</v>
      </c>
      <c r="H51" s="516">
        <v>5.9E-06</v>
      </c>
    </row>
    <row r="52" spans="1:8" ht="12.75">
      <c r="A52" s="10" t="s">
        <v>335</v>
      </c>
      <c r="B52" s="517" t="s">
        <v>284</v>
      </c>
      <c r="C52" s="518" t="s">
        <v>284</v>
      </c>
      <c r="D52" s="517" t="s">
        <v>284</v>
      </c>
      <c r="E52" s="519" t="s">
        <v>284</v>
      </c>
      <c r="F52" s="519" t="s">
        <v>284</v>
      </c>
      <c r="G52" s="520" t="s">
        <v>351</v>
      </c>
      <c r="H52" s="521" t="s">
        <v>351</v>
      </c>
    </row>
    <row r="53" spans="1:8" ht="12.75">
      <c r="A53" s="531" t="s">
        <v>336</v>
      </c>
      <c r="B53" s="522">
        <v>72.6</v>
      </c>
      <c r="C53" s="522">
        <v>113</v>
      </c>
      <c r="D53" s="522">
        <v>70</v>
      </c>
      <c r="E53" s="523">
        <v>944</v>
      </c>
      <c r="F53" s="522">
        <v>5</v>
      </c>
      <c r="G53" s="522">
        <v>5</v>
      </c>
      <c r="H53" s="409" t="s">
        <v>351</v>
      </c>
    </row>
    <row r="54" spans="1:8" ht="12.75">
      <c r="A54" s="532"/>
      <c r="B54" s="22"/>
      <c r="C54" s="22"/>
      <c r="D54" s="22"/>
      <c r="E54" s="22"/>
      <c r="F54" s="22"/>
      <c r="G54" s="22"/>
      <c r="H54" s="22"/>
    </row>
    <row r="55" ht="12.75">
      <c r="A55" s="533" t="s">
        <v>337</v>
      </c>
    </row>
    <row r="56" ht="12.75">
      <c r="A56" s="398"/>
    </row>
    <row r="57" spans="1:5" ht="12.75">
      <c r="A57" s="414" t="s">
        <v>355</v>
      </c>
      <c r="B57" s="402">
        <v>24.1</v>
      </c>
      <c r="C57" s="73">
        <v>12</v>
      </c>
      <c r="D57" s="402">
        <v>29.5</v>
      </c>
      <c r="E57" s="402">
        <v>21.5</v>
      </c>
    </row>
    <row r="58" spans="1:5" ht="12.75">
      <c r="A58" s="403" t="s">
        <v>353</v>
      </c>
      <c r="B58" s="402">
        <v>46.2</v>
      </c>
      <c r="C58" s="415">
        <v>28</v>
      </c>
      <c r="D58" s="402">
        <v>48.6</v>
      </c>
      <c r="E58" s="402">
        <v>104</v>
      </c>
    </row>
    <row r="59" spans="1:5" ht="12.75">
      <c r="A59" s="414" t="s">
        <v>354</v>
      </c>
      <c r="B59" s="402">
        <v>58</v>
      </c>
      <c r="C59" s="415">
        <v>113</v>
      </c>
      <c r="D59" s="402">
        <v>58.1</v>
      </c>
      <c r="E59" s="402">
        <v>315</v>
      </c>
    </row>
    <row r="60" spans="1:5" ht="12.75">
      <c r="A60" s="414" t="s">
        <v>360</v>
      </c>
      <c r="B60" s="402">
        <v>72.6</v>
      </c>
      <c r="C60" s="415">
        <v>462</v>
      </c>
      <c r="D60" s="402">
        <v>70</v>
      </c>
      <c r="E60" s="402">
        <v>944</v>
      </c>
    </row>
    <row r="61" spans="1:5" ht="12.75">
      <c r="A61" s="73"/>
      <c r="B61" s="73"/>
      <c r="C61" s="415"/>
      <c r="D61" s="73"/>
      <c r="E61" s="73"/>
    </row>
    <row r="62" spans="1:5" ht="12.75">
      <c r="A62" s="415" t="s">
        <v>359</v>
      </c>
      <c r="B62" s="415" t="s">
        <v>356</v>
      </c>
      <c r="C62" s="415" t="s">
        <v>357</v>
      </c>
      <c r="D62" s="415" t="s">
        <v>356</v>
      </c>
      <c r="E62" s="415" t="s">
        <v>358</v>
      </c>
    </row>
  </sheetData>
  <printOptions/>
  <pageMargins left="0.75" right="0.75" top="1" bottom="1" header="0.5" footer="0.5"/>
  <pageSetup fitToHeight="1" fitToWidth="1" horizontalDpi="600" verticalDpi="600" orientation="landscape" scale="67" r:id="rId3"/>
  <headerFooter alignWithMargins="0">
    <oddHeader>&amp;C&amp;18Attachment 2.
Calculation of Final WQBELs&amp;R&amp;18Morton International, Inc.
Newark Facility
NPDES Permit
</oddHead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H32"/>
  <sheetViews>
    <sheetView zoomScale="90" zoomScaleNormal="90" workbookViewId="0" topLeftCell="A1">
      <pane xSplit="1" ySplit="2" topLeftCell="D3" activePane="bottomRight" state="frozen"/>
      <selection pane="topLeft" activeCell="N31" sqref="N31"/>
      <selection pane="topRight" activeCell="N31" sqref="N31"/>
      <selection pane="bottomLeft" activeCell="N31" sqref="N31"/>
      <selection pane="bottomRight" activeCell="F5" sqref="F5"/>
    </sheetView>
  </sheetViews>
  <sheetFormatPr defaultColWidth="9.140625" defaultRowHeight="12.75"/>
  <cols>
    <col min="1" max="1" width="12.7109375" style="394" customWidth="1"/>
    <col min="2" max="2" width="7.57421875" style="394" customWidth="1"/>
    <col min="3" max="3" width="13.28125" style="394" bestFit="1" customWidth="1"/>
    <col min="4" max="4" width="10.421875" style="394" bestFit="1" customWidth="1"/>
    <col min="5" max="5" width="8.57421875" style="394" customWidth="1"/>
    <col min="6" max="7" width="10.421875" style="394" bestFit="1" customWidth="1"/>
    <col min="8" max="9" width="9.140625" style="394" customWidth="1"/>
    <col min="10" max="10" width="10.421875" style="394" bestFit="1" customWidth="1"/>
    <col min="11" max="12" width="9.140625" style="394" customWidth="1"/>
    <col min="13" max="13" width="10.421875" style="394" bestFit="1" customWidth="1"/>
    <col min="14" max="16" width="10.421875" style="394" customWidth="1"/>
    <col min="17" max="18" width="9.140625" style="394" customWidth="1"/>
    <col min="19" max="19" width="10.421875" style="394" bestFit="1" customWidth="1"/>
    <col min="20" max="21" width="9.140625" style="394" customWidth="1"/>
    <col min="22" max="22" width="10.421875" style="394" bestFit="1" customWidth="1"/>
    <col min="23" max="23" width="9.140625" style="394" customWidth="1"/>
    <col min="24" max="24" width="9.28125" style="394" bestFit="1" customWidth="1"/>
    <col min="25" max="25" width="10.421875" style="394" bestFit="1" customWidth="1"/>
    <col min="26" max="27" width="9.140625" style="394" customWidth="1"/>
    <col min="28" max="28" width="10.421875" style="394" bestFit="1" customWidth="1"/>
    <col min="29" max="30" width="9.140625" style="394" customWidth="1"/>
    <col min="31" max="31" width="10.421875" style="394" bestFit="1" customWidth="1"/>
    <col min="32" max="33" width="9.140625" style="394" customWidth="1"/>
    <col min="34" max="34" width="10.421875" style="394" bestFit="1" customWidth="1"/>
    <col min="35" max="16384" width="9.140625" style="394" customWidth="1"/>
  </cols>
  <sheetData>
    <row r="1" spans="1:19" s="392" customFormat="1" ht="12.75">
      <c r="A1" s="407"/>
      <c r="B1" s="407"/>
      <c r="C1" s="407" t="s">
        <v>288</v>
      </c>
      <c r="D1" s="407"/>
      <c r="E1" s="407"/>
      <c r="F1" s="407" t="s">
        <v>318</v>
      </c>
      <c r="G1" s="407"/>
      <c r="H1" s="407"/>
      <c r="I1" s="407" t="s">
        <v>289</v>
      </c>
      <c r="J1" s="407"/>
      <c r="K1" s="407"/>
      <c r="L1" s="407" t="s">
        <v>276</v>
      </c>
      <c r="M1" s="407"/>
      <c r="O1" s="407" t="s">
        <v>344</v>
      </c>
      <c r="P1" s="407"/>
      <c r="Q1" s="407"/>
      <c r="R1" s="407" t="s">
        <v>290</v>
      </c>
      <c r="S1" s="407"/>
    </row>
    <row r="2" spans="1:19" s="396" customFormat="1" ht="12.75">
      <c r="A2" s="407" t="s">
        <v>275</v>
      </c>
      <c r="B2" s="407" t="s">
        <v>277</v>
      </c>
      <c r="C2" s="407" t="s">
        <v>291</v>
      </c>
      <c r="D2" s="404" t="s">
        <v>278</v>
      </c>
      <c r="E2" s="408" t="s">
        <v>277</v>
      </c>
      <c r="F2" s="408" t="s">
        <v>291</v>
      </c>
      <c r="G2" s="404" t="s">
        <v>278</v>
      </c>
      <c r="H2" s="408" t="s">
        <v>277</v>
      </c>
      <c r="I2" s="408" t="s">
        <v>291</v>
      </c>
      <c r="J2" s="404" t="s">
        <v>278</v>
      </c>
      <c r="K2" s="408" t="s">
        <v>277</v>
      </c>
      <c r="L2" s="408" t="s">
        <v>291</v>
      </c>
      <c r="M2" s="404" t="s">
        <v>278</v>
      </c>
      <c r="O2" s="404" t="s">
        <v>202</v>
      </c>
      <c r="P2" s="404" t="s">
        <v>278</v>
      </c>
      <c r="Q2" s="408" t="s">
        <v>277</v>
      </c>
      <c r="R2" s="408" t="s">
        <v>291</v>
      </c>
      <c r="S2" s="404" t="s">
        <v>278</v>
      </c>
    </row>
    <row r="3" spans="1:19" s="396" customFormat="1" ht="12.75">
      <c r="A3" s="417">
        <v>35863</v>
      </c>
      <c r="B3" s="407"/>
      <c r="C3" s="407"/>
      <c r="D3" s="404"/>
      <c r="E3" s="408" t="s">
        <v>277</v>
      </c>
      <c r="F3" s="408">
        <v>100</v>
      </c>
      <c r="G3" s="409">
        <f aca="true" t="shared" si="0" ref="G3:G12">IF(F3="","",IF(E3="&lt;",F3/2,F3))</f>
        <v>50</v>
      </c>
      <c r="H3" s="408"/>
      <c r="I3" s="408"/>
      <c r="J3" s="404"/>
      <c r="K3" s="408"/>
      <c r="L3" s="408"/>
      <c r="M3" s="404"/>
      <c r="O3" s="404">
        <v>49</v>
      </c>
      <c r="P3" s="409">
        <f aca="true" t="shared" si="1" ref="P3:P9">IF(O3="","",IF(N3="&lt;",O3/2,O3))</f>
        <v>49</v>
      </c>
      <c r="Q3" s="408"/>
      <c r="R3" s="408"/>
      <c r="S3" s="404"/>
    </row>
    <row r="4" spans="1:19" s="396" customFormat="1" ht="12.75">
      <c r="A4" s="417">
        <v>36066</v>
      </c>
      <c r="B4" s="407"/>
      <c r="C4" s="407"/>
      <c r="D4" s="404"/>
      <c r="E4" s="407"/>
      <c r="F4" s="418">
        <v>1.9</v>
      </c>
      <c r="G4" s="409">
        <f t="shared" si="0"/>
        <v>1.9</v>
      </c>
      <c r="H4" s="407"/>
      <c r="I4" s="407"/>
      <c r="J4" s="404"/>
      <c r="K4" s="407"/>
      <c r="L4" s="407"/>
      <c r="M4" s="404"/>
      <c r="N4" s="404"/>
      <c r="O4" s="418">
        <v>42</v>
      </c>
      <c r="P4" s="409">
        <f t="shared" si="1"/>
        <v>42</v>
      </c>
      <c r="Q4" s="407"/>
      <c r="R4" s="407"/>
      <c r="S4" s="404"/>
    </row>
    <row r="5" spans="1:19" s="396" customFormat="1" ht="12.75">
      <c r="A5" s="417">
        <v>36227</v>
      </c>
      <c r="B5" s="407"/>
      <c r="C5" s="407"/>
      <c r="D5" s="404"/>
      <c r="E5" s="407" t="s">
        <v>277</v>
      </c>
      <c r="F5" s="419">
        <v>0.5</v>
      </c>
      <c r="G5" s="409">
        <f t="shared" si="0"/>
        <v>0.25</v>
      </c>
      <c r="H5" s="407"/>
      <c r="I5" s="407"/>
      <c r="J5" s="404"/>
      <c r="K5" s="407"/>
      <c r="L5" s="407"/>
      <c r="M5" s="404"/>
      <c r="N5" s="404"/>
      <c r="O5" s="418">
        <v>5.3</v>
      </c>
      <c r="P5" s="409">
        <f t="shared" si="1"/>
        <v>5.3</v>
      </c>
      <c r="Q5" s="407"/>
      <c r="R5" s="407"/>
      <c r="S5" s="404"/>
    </row>
    <row r="6" spans="1:19" s="396" customFormat="1" ht="12.75">
      <c r="A6" s="417">
        <v>36409</v>
      </c>
      <c r="B6" s="407"/>
      <c r="C6" s="407"/>
      <c r="D6" s="404"/>
      <c r="E6" s="407" t="s">
        <v>277</v>
      </c>
      <c r="F6" s="420">
        <v>3</v>
      </c>
      <c r="G6" s="409">
        <f t="shared" si="0"/>
        <v>1.5</v>
      </c>
      <c r="H6" s="407"/>
      <c r="I6" s="407"/>
      <c r="J6" s="404"/>
      <c r="K6" s="407"/>
      <c r="L6" s="407"/>
      <c r="M6" s="404"/>
      <c r="N6" s="407" t="s">
        <v>277</v>
      </c>
      <c r="O6" s="420">
        <v>20</v>
      </c>
      <c r="P6" s="409">
        <f t="shared" si="1"/>
        <v>10</v>
      </c>
      <c r="Q6" s="407"/>
      <c r="R6" s="407"/>
      <c r="S6" s="404"/>
    </row>
    <row r="7" spans="1:19" s="396" customFormat="1" ht="12.75">
      <c r="A7" s="417">
        <v>36598</v>
      </c>
      <c r="B7" s="407"/>
      <c r="C7" s="407"/>
      <c r="D7" s="404"/>
      <c r="E7" s="407" t="s">
        <v>277</v>
      </c>
      <c r="F7" s="420">
        <v>3</v>
      </c>
      <c r="G7" s="409">
        <f t="shared" si="0"/>
        <v>1.5</v>
      </c>
      <c r="H7" s="407"/>
      <c r="I7" s="407"/>
      <c r="J7" s="404"/>
      <c r="K7" s="407"/>
      <c r="L7" s="407"/>
      <c r="M7" s="404"/>
      <c r="N7" s="407" t="s">
        <v>277</v>
      </c>
      <c r="O7" s="421">
        <v>20</v>
      </c>
      <c r="P7" s="409">
        <f t="shared" si="1"/>
        <v>10</v>
      </c>
      <c r="Q7" s="407"/>
      <c r="R7" s="407"/>
      <c r="S7" s="404"/>
    </row>
    <row r="8" spans="1:19" s="396" customFormat="1" ht="12.75">
      <c r="A8" s="417">
        <v>36773</v>
      </c>
      <c r="B8" s="407"/>
      <c r="C8" s="407"/>
      <c r="D8" s="404"/>
      <c r="E8" s="407" t="s">
        <v>277</v>
      </c>
      <c r="F8" s="420">
        <v>3</v>
      </c>
      <c r="G8" s="409">
        <f t="shared" si="0"/>
        <v>1.5</v>
      </c>
      <c r="H8" s="407"/>
      <c r="I8" s="407"/>
      <c r="J8" s="404"/>
      <c r="K8" s="407"/>
      <c r="L8" s="407"/>
      <c r="M8" s="404"/>
      <c r="N8" s="407" t="s">
        <v>277</v>
      </c>
      <c r="O8" s="421">
        <v>20</v>
      </c>
      <c r="P8" s="409">
        <f t="shared" si="1"/>
        <v>10</v>
      </c>
      <c r="Q8" s="407"/>
      <c r="R8" s="407"/>
      <c r="S8" s="404"/>
    </row>
    <row r="9" spans="1:19" s="396" customFormat="1" ht="12.75">
      <c r="A9" s="417">
        <v>36962</v>
      </c>
      <c r="B9" s="407"/>
      <c r="C9" s="407"/>
      <c r="D9" s="404"/>
      <c r="E9" s="407" t="s">
        <v>277</v>
      </c>
      <c r="F9" s="420">
        <v>3</v>
      </c>
      <c r="G9" s="409">
        <f t="shared" si="0"/>
        <v>1.5</v>
      </c>
      <c r="H9" s="407"/>
      <c r="I9" s="407"/>
      <c r="J9" s="404"/>
      <c r="K9" s="407"/>
      <c r="L9" s="407"/>
      <c r="M9" s="404"/>
      <c r="N9" s="407" t="s">
        <v>277</v>
      </c>
      <c r="O9" s="421">
        <v>20</v>
      </c>
      <c r="P9" s="409">
        <f t="shared" si="1"/>
        <v>10</v>
      </c>
      <c r="Q9" s="407"/>
      <c r="R9" s="407"/>
      <c r="S9" s="404"/>
    </row>
    <row r="10" spans="1:34" ht="12.75">
      <c r="A10" s="423">
        <v>37138</v>
      </c>
      <c r="B10" s="408" t="s">
        <v>277</v>
      </c>
      <c r="C10" s="408">
        <v>10</v>
      </c>
      <c r="D10" s="409">
        <f aca="true" t="shared" si="2" ref="D10:D20">IF(C10="","",IF(B10="&lt;",C10/2,C10))</f>
        <v>5</v>
      </c>
      <c r="E10" s="408"/>
      <c r="F10" s="409">
        <v>110</v>
      </c>
      <c r="G10" s="409">
        <f t="shared" si="0"/>
        <v>110</v>
      </c>
      <c r="H10" s="409" t="s">
        <v>277</v>
      </c>
      <c r="I10" s="409">
        <v>20</v>
      </c>
      <c r="J10" s="409">
        <f aca="true" t="shared" si="3" ref="J10:J20">IF(I10="","",IF(H10="&lt;",I10/2,I10))</f>
        <v>10</v>
      </c>
      <c r="K10" s="408"/>
      <c r="L10" s="408"/>
      <c r="M10" s="409">
        <f aca="true" t="shared" si="4" ref="M10:M19">IF(L10="","",IF(K10="&lt;",L10/2,L10))</f>
      </c>
      <c r="N10" s="408"/>
      <c r="O10" s="416">
        <v>8.7</v>
      </c>
      <c r="P10" s="409">
        <f aca="true" t="shared" si="5" ref="P10:P20">IF(O10="","",IF(N10="&lt;",O10/2,O10))</f>
        <v>8.7</v>
      </c>
      <c r="Q10" s="408" t="s">
        <v>277</v>
      </c>
      <c r="R10" s="408">
        <v>10</v>
      </c>
      <c r="S10" s="409">
        <f aca="true" t="shared" si="6" ref="S10:S20">IF(R10="","",IF(Q10="&lt;",R10/2,R10))</f>
        <v>5</v>
      </c>
      <c r="V10" s="393"/>
      <c r="Y10" s="393"/>
      <c r="AB10" s="393"/>
      <c r="AE10" s="393"/>
      <c r="AH10" s="393"/>
    </row>
    <row r="11" spans="1:34" ht="12.75">
      <c r="A11" s="423">
        <v>37144</v>
      </c>
      <c r="B11" s="408"/>
      <c r="C11" s="408"/>
      <c r="D11" s="409">
        <f t="shared" si="2"/>
      </c>
      <c r="E11" s="408"/>
      <c r="F11" s="409"/>
      <c r="G11" s="409">
        <f t="shared" si="0"/>
      </c>
      <c r="H11" s="408"/>
      <c r="I11" s="409"/>
      <c r="J11" s="409">
        <f t="shared" si="3"/>
      </c>
      <c r="K11" s="408"/>
      <c r="L11" s="408">
        <v>41</v>
      </c>
      <c r="M11" s="409">
        <f t="shared" si="4"/>
        <v>41</v>
      </c>
      <c r="N11" s="408" t="s">
        <v>277</v>
      </c>
      <c r="O11" s="416">
        <v>20</v>
      </c>
      <c r="P11" s="409">
        <f t="shared" si="5"/>
        <v>10</v>
      </c>
      <c r="Q11" s="408"/>
      <c r="R11" s="408"/>
      <c r="S11" s="409">
        <f t="shared" si="6"/>
      </c>
      <c r="V11" s="393"/>
      <c r="Y11" s="393"/>
      <c r="AB11" s="393"/>
      <c r="AE11" s="393"/>
      <c r="AH11" s="393"/>
    </row>
    <row r="12" spans="1:34" ht="12.75">
      <c r="A12" s="423">
        <v>37251</v>
      </c>
      <c r="B12" s="408"/>
      <c r="C12" s="408">
        <v>22.2</v>
      </c>
      <c r="D12" s="409">
        <f t="shared" si="2"/>
        <v>22.2</v>
      </c>
      <c r="E12" s="408"/>
      <c r="F12" s="409">
        <v>1.5</v>
      </c>
      <c r="G12" s="409">
        <f t="shared" si="0"/>
        <v>1.5</v>
      </c>
      <c r="H12" s="408"/>
      <c r="I12" s="408">
        <v>12</v>
      </c>
      <c r="J12" s="409">
        <f t="shared" si="3"/>
        <v>12</v>
      </c>
      <c r="K12" s="408"/>
      <c r="L12" s="408">
        <v>34</v>
      </c>
      <c r="M12" s="409">
        <f t="shared" si="4"/>
        <v>34</v>
      </c>
      <c r="N12" s="408"/>
      <c r="O12" s="416">
        <v>41</v>
      </c>
      <c r="P12" s="409">
        <f t="shared" si="5"/>
        <v>41</v>
      </c>
      <c r="Q12" s="408" t="s">
        <v>277</v>
      </c>
      <c r="R12" s="408">
        <v>2</v>
      </c>
      <c r="S12" s="409">
        <f t="shared" si="6"/>
        <v>1</v>
      </c>
      <c r="V12" s="393"/>
      <c r="Y12" s="393"/>
      <c r="AB12" s="393"/>
      <c r="AE12" s="393"/>
      <c r="AH12" s="393"/>
    </row>
    <row r="13" spans="1:34" ht="12.75">
      <c r="A13" s="423">
        <v>37325</v>
      </c>
      <c r="B13" s="408"/>
      <c r="C13" s="408">
        <v>1.9</v>
      </c>
      <c r="D13" s="409">
        <f t="shared" si="2"/>
        <v>1.9</v>
      </c>
      <c r="E13" s="408"/>
      <c r="F13" s="409">
        <v>0.15</v>
      </c>
      <c r="G13" s="409">
        <f aca="true" t="shared" si="7" ref="G13:G20">IF(F13="","",IF(E13="&lt;",F13/2,F13))</f>
        <v>0.15</v>
      </c>
      <c r="H13" s="408"/>
      <c r="I13" s="409">
        <v>1</v>
      </c>
      <c r="J13" s="409">
        <f t="shared" si="3"/>
        <v>1</v>
      </c>
      <c r="K13" s="408"/>
      <c r="L13" s="408">
        <v>2.2</v>
      </c>
      <c r="M13" s="409">
        <f t="shared" si="4"/>
        <v>2.2</v>
      </c>
      <c r="N13" s="408"/>
      <c r="O13" s="416">
        <v>1</v>
      </c>
      <c r="P13" s="409">
        <f t="shared" si="5"/>
        <v>1</v>
      </c>
      <c r="Q13" s="408"/>
      <c r="R13" s="408"/>
      <c r="S13" s="409">
        <f t="shared" si="6"/>
      </c>
      <c r="V13" s="393"/>
      <c r="Y13" s="393"/>
      <c r="AB13" s="393"/>
      <c r="AE13" s="393"/>
      <c r="AH13" s="393"/>
    </row>
    <row r="14" spans="1:34" ht="12.75">
      <c r="A14" s="423">
        <v>37430</v>
      </c>
      <c r="B14" s="408"/>
      <c r="C14" s="408">
        <v>29.4</v>
      </c>
      <c r="D14" s="409">
        <f t="shared" si="2"/>
        <v>29.4</v>
      </c>
      <c r="E14" s="408"/>
      <c r="F14" s="409">
        <v>8.7</v>
      </c>
      <c r="G14" s="409">
        <f t="shared" si="7"/>
        <v>8.7</v>
      </c>
      <c r="H14" s="408"/>
      <c r="I14" s="409">
        <v>10</v>
      </c>
      <c r="J14" s="409">
        <f t="shared" si="3"/>
        <v>10</v>
      </c>
      <c r="K14" s="408"/>
      <c r="L14" s="408">
        <v>31.4</v>
      </c>
      <c r="M14" s="409">
        <f t="shared" si="4"/>
        <v>31.4</v>
      </c>
      <c r="N14" s="408"/>
      <c r="O14" s="416">
        <v>29</v>
      </c>
      <c r="P14" s="409">
        <f t="shared" si="5"/>
        <v>29</v>
      </c>
      <c r="Q14" s="408"/>
      <c r="R14" s="409"/>
      <c r="S14" s="409">
        <f t="shared" si="6"/>
      </c>
      <c r="V14" s="393"/>
      <c r="Y14" s="393"/>
      <c r="AB14" s="393"/>
      <c r="AE14" s="393"/>
      <c r="AH14" s="393"/>
    </row>
    <row r="15" spans="1:34" ht="12.75">
      <c r="A15" s="423">
        <v>37521</v>
      </c>
      <c r="B15" s="408"/>
      <c r="C15" s="408">
        <v>30.5</v>
      </c>
      <c r="D15" s="409">
        <f t="shared" si="2"/>
        <v>30.5</v>
      </c>
      <c r="E15" s="408" t="s">
        <v>277</v>
      </c>
      <c r="F15" s="409">
        <v>0.01</v>
      </c>
      <c r="G15" s="409">
        <f t="shared" si="7"/>
        <v>0.005</v>
      </c>
      <c r="H15" s="408"/>
      <c r="I15" s="409">
        <v>13</v>
      </c>
      <c r="J15" s="409">
        <f t="shared" si="3"/>
        <v>13</v>
      </c>
      <c r="K15" s="408"/>
      <c r="L15" s="408">
        <v>32.1</v>
      </c>
      <c r="M15" s="409">
        <f t="shared" si="4"/>
        <v>32.1</v>
      </c>
      <c r="N15" s="408" t="s">
        <v>277</v>
      </c>
      <c r="O15" s="416">
        <v>0.3</v>
      </c>
      <c r="P15" s="409">
        <f t="shared" si="5"/>
        <v>0.15</v>
      </c>
      <c r="Q15" s="408" t="s">
        <v>277</v>
      </c>
      <c r="R15" s="409">
        <v>2</v>
      </c>
      <c r="S15" s="409">
        <f t="shared" si="6"/>
        <v>1</v>
      </c>
      <c r="V15" s="393"/>
      <c r="Y15" s="393"/>
      <c r="AB15" s="393"/>
      <c r="AE15" s="393"/>
      <c r="AH15" s="393"/>
    </row>
    <row r="16" spans="1:34" ht="12.75">
      <c r="A16" s="423">
        <v>37543</v>
      </c>
      <c r="B16" s="408"/>
      <c r="C16" s="408"/>
      <c r="D16" s="409">
        <f t="shared" si="2"/>
      </c>
      <c r="E16" s="408"/>
      <c r="F16" s="409"/>
      <c r="G16" s="409">
        <f t="shared" si="7"/>
      </c>
      <c r="H16" s="408"/>
      <c r="I16" s="409"/>
      <c r="J16" s="409">
        <f t="shared" si="3"/>
      </c>
      <c r="K16" s="408"/>
      <c r="L16" s="408"/>
      <c r="M16" s="409">
        <f t="shared" si="4"/>
      </c>
      <c r="N16" s="408"/>
      <c r="P16" s="409">
        <f t="shared" si="5"/>
      </c>
      <c r="Q16" s="408" t="s">
        <v>277</v>
      </c>
      <c r="R16" s="408">
        <v>2</v>
      </c>
      <c r="S16" s="409">
        <f t="shared" si="6"/>
        <v>1</v>
      </c>
      <c r="V16" s="393"/>
      <c r="Y16" s="393"/>
      <c r="AB16" s="393"/>
      <c r="AE16" s="393"/>
      <c r="AH16" s="393"/>
    </row>
    <row r="17" spans="1:34" ht="12.75">
      <c r="A17" s="423">
        <v>37599</v>
      </c>
      <c r="B17" s="408"/>
      <c r="C17" s="408">
        <v>46.1</v>
      </c>
      <c r="D17" s="409">
        <f t="shared" si="2"/>
        <v>46.1</v>
      </c>
      <c r="E17" s="408"/>
      <c r="F17" s="409">
        <v>10.5</v>
      </c>
      <c r="G17" s="409">
        <f t="shared" si="7"/>
        <v>10.5</v>
      </c>
      <c r="H17" s="408"/>
      <c r="I17" s="409" t="s">
        <v>324</v>
      </c>
      <c r="J17" s="409" t="str">
        <f t="shared" si="3"/>
        <v>E320</v>
      </c>
      <c r="K17" s="408"/>
      <c r="L17" s="408">
        <v>39.8</v>
      </c>
      <c r="M17" s="409">
        <f t="shared" si="4"/>
        <v>39.8</v>
      </c>
      <c r="N17" s="408" t="s">
        <v>277</v>
      </c>
      <c r="O17" s="416">
        <v>0.3</v>
      </c>
      <c r="P17" s="409">
        <f t="shared" si="5"/>
        <v>0.15</v>
      </c>
      <c r="Q17" s="408" t="s">
        <v>277</v>
      </c>
      <c r="R17" s="408">
        <v>2</v>
      </c>
      <c r="S17" s="409">
        <f t="shared" si="6"/>
        <v>1</v>
      </c>
      <c r="V17" s="393"/>
      <c r="Y17" s="393"/>
      <c r="AB17" s="393"/>
      <c r="AE17" s="393"/>
      <c r="AH17" s="393"/>
    </row>
    <row r="18" spans="1:34" ht="12.75">
      <c r="A18" s="423">
        <v>37703</v>
      </c>
      <c r="B18" s="408"/>
      <c r="C18" s="408">
        <v>27.2</v>
      </c>
      <c r="D18" s="409">
        <f t="shared" si="2"/>
        <v>27.2</v>
      </c>
      <c r="E18" s="408"/>
      <c r="F18" s="409">
        <v>2.3</v>
      </c>
      <c r="G18" s="409">
        <f t="shared" si="7"/>
        <v>2.3</v>
      </c>
      <c r="H18" s="408"/>
      <c r="I18" s="409">
        <v>16</v>
      </c>
      <c r="J18" s="409">
        <f t="shared" si="3"/>
        <v>16</v>
      </c>
      <c r="K18" s="408"/>
      <c r="L18" s="408">
        <v>23</v>
      </c>
      <c r="M18" s="409">
        <f t="shared" si="4"/>
        <v>23</v>
      </c>
      <c r="N18" s="408"/>
      <c r="O18" s="416">
        <v>18</v>
      </c>
      <c r="P18" s="409">
        <f t="shared" si="5"/>
        <v>18</v>
      </c>
      <c r="Q18" s="408" t="s">
        <v>277</v>
      </c>
      <c r="R18" s="408">
        <v>2</v>
      </c>
      <c r="S18" s="409">
        <f t="shared" si="6"/>
        <v>1</v>
      </c>
      <c r="V18" s="393"/>
      <c r="Y18" s="393"/>
      <c r="AB18" s="393"/>
      <c r="AE18" s="393"/>
      <c r="AH18" s="393"/>
    </row>
    <row r="19" spans="1:34" ht="12.75">
      <c r="A19" s="423">
        <v>37921</v>
      </c>
      <c r="B19" s="408"/>
      <c r="C19" s="408">
        <v>30.6</v>
      </c>
      <c r="D19" s="409">
        <f t="shared" si="2"/>
        <v>30.6</v>
      </c>
      <c r="E19" s="408"/>
      <c r="F19" s="409">
        <v>0.5</v>
      </c>
      <c r="G19" s="409">
        <f t="shared" si="7"/>
        <v>0.5</v>
      </c>
      <c r="H19" s="408"/>
      <c r="I19" s="409">
        <v>9.2</v>
      </c>
      <c r="J19" s="409">
        <f t="shared" si="3"/>
        <v>9.2</v>
      </c>
      <c r="K19" s="409"/>
      <c r="L19" s="409">
        <v>32.2</v>
      </c>
      <c r="M19" s="409">
        <f t="shared" si="4"/>
        <v>32.2</v>
      </c>
      <c r="N19" s="409"/>
      <c r="O19" s="416">
        <v>8.7</v>
      </c>
      <c r="P19" s="409">
        <f t="shared" si="5"/>
        <v>8.7</v>
      </c>
      <c r="Q19" s="408" t="s">
        <v>277</v>
      </c>
      <c r="R19" s="408">
        <v>3</v>
      </c>
      <c r="S19" s="409">
        <f t="shared" si="6"/>
        <v>1.5</v>
      </c>
      <c r="V19" s="393"/>
      <c r="Y19" s="393"/>
      <c r="AB19" s="393"/>
      <c r="AE19" s="393"/>
      <c r="AH19" s="393"/>
    </row>
    <row r="20" spans="1:34" ht="12.75">
      <c r="A20" s="423">
        <v>38025</v>
      </c>
      <c r="B20" s="408"/>
      <c r="C20" s="408">
        <v>25.1</v>
      </c>
      <c r="D20" s="409">
        <f t="shared" si="2"/>
        <v>25.1</v>
      </c>
      <c r="E20" s="408"/>
      <c r="F20" s="409">
        <v>0.9</v>
      </c>
      <c r="G20" s="409">
        <f t="shared" si="7"/>
        <v>0.9</v>
      </c>
      <c r="H20" s="408"/>
      <c r="I20" s="409">
        <v>7.2</v>
      </c>
      <c r="J20" s="409">
        <f t="shared" si="3"/>
        <v>7.2</v>
      </c>
      <c r="K20" s="409"/>
      <c r="L20" s="409"/>
      <c r="M20" s="409"/>
      <c r="N20" s="409"/>
      <c r="O20" s="416">
        <v>113</v>
      </c>
      <c r="P20" s="409">
        <f t="shared" si="5"/>
        <v>113</v>
      </c>
      <c r="Q20" s="408" t="s">
        <v>277</v>
      </c>
      <c r="R20" s="408">
        <v>3</v>
      </c>
      <c r="S20" s="409">
        <f t="shared" si="6"/>
        <v>1.5</v>
      </c>
      <c r="V20" s="393"/>
      <c r="Y20" s="393"/>
      <c r="AB20" s="393"/>
      <c r="AE20" s="393"/>
      <c r="AH20" s="393"/>
    </row>
    <row r="21" spans="1:34" ht="12.75">
      <c r="A21" s="423"/>
      <c r="B21" s="408"/>
      <c r="C21" s="408"/>
      <c r="D21" s="409"/>
      <c r="E21" s="408"/>
      <c r="F21" s="409"/>
      <c r="G21" s="409"/>
      <c r="H21" s="408"/>
      <c r="I21" s="409"/>
      <c r="J21" s="409"/>
      <c r="K21" s="409"/>
      <c r="L21" s="409"/>
      <c r="M21" s="409"/>
      <c r="N21" s="409"/>
      <c r="O21" s="416"/>
      <c r="P21" s="409"/>
      <c r="Q21" s="408"/>
      <c r="R21" s="408"/>
      <c r="S21" s="409"/>
      <c r="V21" s="393"/>
      <c r="Y21" s="393"/>
      <c r="AB21" s="393"/>
      <c r="AE21" s="393"/>
      <c r="AH21" s="393"/>
    </row>
    <row r="22" spans="1:34" ht="12.75">
      <c r="A22" s="409"/>
      <c r="B22" s="408"/>
      <c r="C22" s="408"/>
      <c r="D22" s="409"/>
      <c r="E22" s="408"/>
      <c r="F22" s="409"/>
      <c r="G22" s="409"/>
      <c r="H22" s="408"/>
      <c r="I22" s="409"/>
      <c r="J22" s="409"/>
      <c r="K22" s="408"/>
      <c r="L22" s="409"/>
      <c r="M22" s="409"/>
      <c r="N22" s="409"/>
      <c r="O22" s="416"/>
      <c r="P22" s="409"/>
      <c r="Q22" s="408"/>
      <c r="R22" s="408"/>
      <c r="S22" s="409"/>
      <c r="V22" s="393"/>
      <c r="Y22" s="393"/>
      <c r="AB22" s="393"/>
      <c r="AE22" s="393"/>
      <c r="AH22" s="393"/>
    </row>
    <row r="23" spans="1:32" ht="12.75">
      <c r="A23" s="408" t="s">
        <v>319</v>
      </c>
      <c r="B23" s="410">
        <f>COUNTIF(C4:C20,"&gt;0")</f>
        <v>9</v>
      </c>
      <c r="C23" s="408"/>
      <c r="D23" s="408"/>
      <c r="E23" s="410">
        <f>COUNTIF(F3:F20,"&gt;0")</f>
        <v>16</v>
      </c>
      <c r="F23" s="408"/>
      <c r="G23" s="408"/>
      <c r="H23" s="410">
        <f>COUNTIF(I4:I20,"&gt;0")</f>
        <v>8</v>
      </c>
      <c r="I23" s="408"/>
      <c r="J23" s="408"/>
      <c r="K23" s="410">
        <f>COUNTIF(L4:L20,"&gt;0")</f>
        <v>8</v>
      </c>
      <c r="L23" s="408"/>
      <c r="M23" s="408"/>
      <c r="N23" s="410">
        <f>COUNTIF(O3:O20,"&gt;0")</f>
        <v>17</v>
      </c>
      <c r="O23" s="408"/>
      <c r="P23" s="408"/>
      <c r="Q23" s="410">
        <f>COUNTIF(R4:R20,"&gt;0")</f>
        <v>8</v>
      </c>
      <c r="R23" s="408"/>
      <c r="S23" s="408"/>
      <c r="T23" s="286"/>
      <c r="W23" s="286"/>
      <c r="Z23" s="286"/>
      <c r="AC23" s="286"/>
      <c r="AF23" s="286"/>
    </row>
    <row r="24" spans="1:32" ht="12.75">
      <c r="A24" s="408" t="s">
        <v>320</v>
      </c>
      <c r="B24" s="410">
        <f>COUNTIF(B4:B20,"=&lt;")</f>
        <v>1</v>
      </c>
      <c r="C24" s="408"/>
      <c r="D24" s="408"/>
      <c r="E24" s="410">
        <f>COUNTIF(E3:E20,"=&lt;")</f>
        <v>7</v>
      </c>
      <c r="F24" s="408"/>
      <c r="G24" s="408"/>
      <c r="H24" s="410">
        <f>COUNTIF(H4:H20,"=&lt;")</f>
        <v>1</v>
      </c>
      <c r="I24" s="408"/>
      <c r="J24" s="408"/>
      <c r="K24" s="410">
        <f>COUNTIF(K4:K20,"=&lt;")</f>
        <v>0</v>
      </c>
      <c r="L24" s="408"/>
      <c r="M24" s="408"/>
      <c r="N24" s="410">
        <f>COUNTIF(N3:N20,"=&lt;")</f>
        <v>7</v>
      </c>
      <c r="O24" s="408"/>
      <c r="P24" s="408"/>
      <c r="Q24" s="410">
        <f>COUNTIF(Q4:Q20,"=&lt;")</f>
        <v>8</v>
      </c>
      <c r="R24" s="408"/>
      <c r="S24" s="408"/>
      <c r="T24" s="286"/>
      <c r="W24" s="286"/>
      <c r="Z24" s="286"/>
      <c r="AC24" s="286"/>
      <c r="AF24" s="286"/>
    </row>
    <row r="25" spans="1:32" ht="12.75">
      <c r="A25" s="408" t="s">
        <v>321</v>
      </c>
      <c r="B25" s="411">
        <f>100*B24/B23</f>
        <v>11.11111111111111</v>
      </c>
      <c r="C25" s="408"/>
      <c r="D25" s="408"/>
      <c r="E25" s="411">
        <f>100*E24/E23</f>
        <v>43.75</v>
      </c>
      <c r="F25" s="408"/>
      <c r="G25" s="408"/>
      <c r="H25" s="411">
        <f>100*H24/H23</f>
        <v>12.5</v>
      </c>
      <c r="I25" s="408"/>
      <c r="J25" s="408"/>
      <c r="K25" s="411">
        <f>100*K24/K23</f>
        <v>0</v>
      </c>
      <c r="L25" s="408"/>
      <c r="M25" s="408"/>
      <c r="N25" s="411">
        <f>100*N24/N23</f>
        <v>41.1764705882353</v>
      </c>
      <c r="O25" s="408"/>
      <c r="P25" s="408"/>
      <c r="Q25" s="411">
        <f>100*Q24/Q23</f>
        <v>100</v>
      </c>
      <c r="R25" s="408"/>
      <c r="S25" s="408"/>
      <c r="T25" s="395"/>
      <c r="W25" s="395"/>
      <c r="Z25" s="395"/>
      <c r="AC25" s="395"/>
      <c r="AF25" s="395"/>
    </row>
    <row r="26" spans="1:19" ht="12.75">
      <c r="A26" s="422" t="s">
        <v>322</v>
      </c>
      <c r="B26" s="408">
        <f>AVERAGE(D4:D20)</f>
        <v>24.222222222222218</v>
      </c>
      <c r="C26" s="408"/>
      <c r="D26" s="408"/>
      <c r="E26" s="408">
        <f>AVERAGE(G3:G20)</f>
        <v>12.0440625</v>
      </c>
      <c r="F26" s="408"/>
      <c r="G26" s="408"/>
      <c r="H26" s="408">
        <f>AVERAGE(J4:J20)</f>
        <v>9.8</v>
      </c>
      <c r="I26" s="408"/>
      <c r="J26" s="408"/>
      <c r="K26" s="408">
        <f>AVERAGE(M4:M20)</f>
        <v>29.4625</v>
      </c>
      <c r="L26" s="408"/>
      <c r="M26" s="408"/>
      <c r="N26" s="408">
        <f>AVERAGE(P3:P20)</f>
        <v>21.529411764705884</v>
      </c>
      <c r="O26" s="408"/>
      <c r="P26" s="408"/>
      <c r="Q26" s="408">
        <f>AVERAGE(S4:S20)</f>
        <v>1.625</v>
      </c>
      <c r="R26" s="408"/>
      <c r="S26" s="408"/>
    </row>
    <row r="27" spans="1:19" ht="12.75">
      <c r="A27" s="422" t="s">
        <v>323</v>
      </c>
      <c r="B27" s="408">
        <f>STDEV(D4:D20)</f>
        <v>13.541766666297454</v>
      </c>
      <c r="C27" s="408"/>
      <c r="D27" s="408"/>
      <c r="E27" s="408">
        <f>STDEV(G3:G20)</f>
        <v>28.851671194736134</v>
      </c>
      <c r="F27" s="408"/>
      <c r="G27" s="408"/>
      <c r="H27" s="408">
        <f>STDEV(J4:J20)</f>
        <v>4.442650431571545</v>
      </c>
      <c r="I27" s="408"/>
      <c r="J27" s="408"/>
      <c r="K27" s="408">
        <f>STDEV(M4:M20)</f>
        <v>12.327546100386034</v>
      </c>
      <c r="L27" s="408"/>
      <c r="M27" s="408"/>
      <c r="N27" s="408">
        <f>STDEV(P3:P20)</f>
        <v>28.040985955960124</v>
      </c>
      <c r="O27" s="408"/>
      <c r="P27" s="408"/>
      <c r="Q27" s="408">
        <f>STDEV(S4:S20)</f>
        <v>1.3822858914545448</v>
      </c>
      <c r="R27" s="408"/>
      <c r="S27" s="408"/>
    </row>
    <row r="28" spans="1:19" ht="12.75">
      <c r="A28" s="408"/>
      <c r="B28" s="408" t="str">
        <f>IF(B24/B23&lt;0.8,"calc","default")</f>
        <v>calc</v>
      </c>
      <c r="C28" s="408">
        <f>IF(B28="calc",B27/B26,0.6)</f>
        <v>0.5590637614526472</v>
      </c>
      <c r="D28" s="408"/>
      <c r="E28" s="408" t="str">
        <f>IF(E24/E23&lt;0.8,"calc","default")</f>
        <v>calc</v>
      </c>
      <c r="F28" s="408">
        <f>IF(E28="calc",E27/E26,0.6)</f>
        <v>2.3955099199075174</v>
      </c>
      <c r="G28" s="408"/>
      <c r="H28" s="408" t="str">
        <f>IF(H24/H23&lt;0.8,"calc","default")</f>
        <v>calc</v>
      </c>
      <c r="I28" s="408">
        <f>IF(H28="calc",H27/H26,0.6)</f>
        <v>0.45333167669097396</v>
      </c>
      <c r="J28" s="408"/>
      <c r="K28" s="408" t="str">
        <f>IF(K24/K23&lt;0.8,"calc","default")</f>
        <v>calc</v>
      </c>
      <c r="L28" s="408">
        <f>IF(K28="calc",K27/K26,0.6)</f>
        <v>0.4184148018798824</v>
      </c>
      <c r="M28" s="408"/>
      <c r="N28" s="408" t="str">
        <f>IF(N24/N23&lt;0.8,"calc","default")</f>
        <v>calc</v>
      </c>
      <c r="O28" s="408">
        <f>IF(N28="calc",N27/N26,0.6)</f>
        <v>1.302450167353339</v>
      </c>
      <c r="P28" s="408"/>
      <c r="Q28" s="408" t="str">
        <f>IF(Q24/Q23&lt;0.8,"calc","default")</f>
        <v>default</v>
      </c>
      <c r="R28" s="408">
        <f>IF(Q28="calc",Q27/Q26,0.6)</f>
        <v>0.6</v>
      </c>
      <c r="S28" s="408"/>
    </row>
    <row r="29" spans="1:19" ht="12.75">
      <c r="A29" s="408"/>
      <c r="B29" s="408"/>
      <c r="C29" s="408"/>
      <c r="D29" s="408"/>
      <c r="E29" s="408"/>
      <c r="F29" s="408"/>
      <c r="G29" s="408"/>
      <c r="H29" s="408"/>
      <c r="I29" s="408"/>
      <c r="J29" s="408"/>
      <c r="K29" s="408"/>
      <c r="L29" s="408"/>
      <c r="M29" s="408"/>
      <c r="N29" s="408"/>
      <c r="O29" s="408"/>
      <c r="P29" s="408"/>
      <c r="Q29" s="408"/>
      <c r="R29" s="408"/>
      <c r="S29" s="408"/>
    </row>
    <row r="30" spans="1:19" ht="12.75">
      <c r="A30" s="408"/>
      <c r="B30" s="408"/>
      <c r="C30" s="408"/>
      <c r="D30" s="408"/>
      <c r="E30" s="408"/>
      <c r="F30" s="408"/>
      <c r="G30" s="408"/>
      <c r="H30" s="408"/>
      <c r="I30" s="408"/>
      <c r="J30" s="408"/>
      <c r="K30" s="408"/>
      <c r="L30" s="408"/>
      <c r="M30" s="408"/>
      <c r="N30" s="408"/>
      <c r="O30" s="408"/>
      <c r="P30" s="408"/>
      <c r="Q30" s="408"/>
      <c r="R30" s="408"/>
      <c r="S30" s="408"/>
    </row>
    <row r="31" spans="1:19" ht="12.75">
      <c r="A31" s="408" t="s">
        <v>338</v>
      </c>
      <c r="B31" s="408"/>
      <c r="C31" s="408">
        <f>MIN(C4:C19)</f>
        <v>1.9</v>
      </c>
      <c r="D31" s="408"/>
      <c r="E31" s="408"/>
      <c r="F31" s="408">
        <f>MIN(F4:F19)</f>
        <v>0.01</v>
      </c>
      <c r="G31" s="408"/>
      <c r="H31" s="408"/>
      <c r="I31" s="408">
        <f>MIN(I4:I19)</f>
        <v>1</v>
      </c>
      <c r="J31" s="408"/>
      <c r="K31" s="408"/>
      <c r="L31" s="408">
        <f>MIN(L4:L19)</f>
        <v>2.2</v>
      </c>
      <c r="M31" s="408"/>
      <c r="N31" s="408"/>
      <c r="O31" s="408">
        <f>MIN(O4:O19)</f>
        <v>0.3</v>
      </c>
      <c r="P31" s="408"/>
      <c r="Q31" s="408"/>
      <c r="R31" s="408">
        <f>MIN(R4:R19)</f>
        <v>2</v>
      </c>
      <c r="S31" s="408"/>
    </row>
    <row r="32" spans="1:19" ht="12.75">
      <c r="A32" s="408" t="s">
        <v>339</v>
      </c>
      <c r="B32" s="408"/>
      <c r="C32" s="408">
        <f>MAX(C4:C20)</f>
        <v>46.1</v>
      </c>
      <c r="D32" s="408"/>
      <c r="E32" s="408"/>
      <c r="F32" s="408">
        <f>MAX(F4:F20)</f>
        <v>110</v>
      </c>
      <c r="G32" s="408"/>
      <c r="H32" s="408"/>
      <c r="I32" s="408">
        <f>MAX(I4:I20)</f>
        <v>20</v>
      </c>
      <c r="J32" s="408"/>
      <c r="K32" s="408"/>
      <c r="L32" s="408">
        <f>MAX(L4:L20)</f>
        <v>41</v>
      </c>
      <c r="M32" s="408"/>
      <c r="N32" s="408"/>
      <c r="O32" s="408">
        <f>MAX(O4:O20)</f>
        <v>113</v>
      </c>
      <c r="P32" s="408"/>
      <c r="Q32" s="408"/>
      <c r="R32" s="408">
        <f>MAX(R4:R20)</f>
        <v>10</v>
      </c>
      <c r="S32" s="408"/>
    </row>
  </sheetData>
  <printOptions gridLines="1"/>
  <pageMargins left="0.75" right="0.75" top="1" bottom="1" header="0.5" footer="0.5"/>
  <pageSetup fitToHeight="1" fitToWidth="1" horizontalDpi="600" verticalDpi="600" orientation="landscape" scale="64" r:id="rId3"/>
  <headerFooter alignWithMargins="0">
    <oddHeader>&amp;CMorton International, Inc.</oddHeader>
    <oddFooter>&amp;L&amp;A
&amp;F&amp;CPage &amp;P of &amp;N&amp;R&amp;D</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BO168"/>
  <sheetViews>
    <sheetView zoomScale="75" zoomScaleNormal="75" workbookViewId="0" topLeftCell="A1">
      <pane xSplit="2" ySplit="3" topLeftCell="C4" activePane="bottomRight" state="frozen"/>
      <selection pane="topLeft" activeCell="A1" sqref="A1"/>
      <selection pane="topRight" activeCell="C1" sqref="C1"/>
      <selection pane="bottomLeft" activeCell="A5" sqref="A5"/>
      <selection pane="bottomRight" activeCell="A18" sqref="A18"/>
    </sheetView>
  </sheetViews>
  <sheetFormatPr defaultColWidth="9.140625" defaultRowHeight="12.75"/>
  <cols>
    <col min="1" max="1" width="10.140625" style="0" bestFit="1" customWidth="1"/>
    <col min="2" max="2" width="32.00390625" style="0" bestFit="1" customWidth="1"/>
    <col min="3" max="3" width="2.28125" style="0" customWidth="1"/>
    <col min="4" max="4" width="10.421875" style="386" bestFit="1" customWidth="1"/>
    <col min="5" max="5" width="2.28125" style="413" customWidth="1"/>
    <col min="6" max="6" width="10.421875" style="386" bestFit="1" customWidth="1"/>
    <col min="7" max="7" width="2.28125" style="386" customWidth="1"/>
    <col min="8" max="8" width="10.421875" style="386" bestFit="1" customWidth="1"/>
    <col min="9" max="9" width="2.28125" style="386" customWidth="1"/>
    <col min="10" max="10" width="11.57421875" style="386" bestFit="1" customWidth="1"/>
    <col min="11" max="11" width="2.140625" style="386" bestFit="1" customWidth="1"/>
    <col min="12" max="12" width="10.421875" style="386" bestFit="1" customWidth="1"/>
    <col min="13" max="13" width="2.28125" style="386" customWidth="1"/>
    <col min="14" max="14" width="10.421875" style="386" bestFit="1" customWidth="1"/>
    <col min="15" max="15" width="2.28125" style="386" customWidth="1"/>
    <col min="16" max="16" width="12.8515625" style="386" bestFit="1" customWidth="1"/>
    <col min="17" max="17" width="2.28125" style="386" customWidth="1"/>
    <col min="18" max="18" width="12.8515625" style="386" bestFit="1" customWidth="1"/>
    <col min="19" max="19" width="2.140625" style="386" bestFit="1" customWidth="1"/>
    <col min="20" max="20" width="9.28125" style="386" bestFit="1" customWidth="1"/>
    <col min="21" max="21" width="2.140625" style="386" bestFit="1" customWidth="1"/>
    <col min="22" max="22" width="12.7109375" style="386" customWidth="1"/>
    <col min="23" max="23" width="2.140625" style="386" bestFit="1" customWidth="1"/>
    <col min="24" max="24" width="8.421875" style="386" customWidth="1"/>
    <col min="25" max="25" width="2.140625" style="386" customWidth="1"/>
    <col min="26" max="26" width="12.7109375" style="386" customWidth="1"/>
    <col min="27" max="27" width="2.28125" style="384" customWidth="1"/>
    <col min="28" max="28" width="12.7109375" style="384" customWidth="1"/>
    <col min="29" max="29" width="2.28125" style="384" customWidth="1"/>
    <col min="30" max="30" width="10.421875" style="384" bestFit="1" customWidth="1"/>
    <col min="31" max="31" width="2.28125" style="384" customWidth="1"/>
    <col min="32" max="32" width="10.421875" style="384" bestFit="1" customWidth="1"/>
    <col min="33" max="33" width="2.28125" style="384" customWidth="1"/>
    <col min="34" max="34" width="10.421875" style="384" bestFit="1" customWidth="1"/>
    <col min="35" max="35" width="2.28125" style="384" customWidth="1"/>
    <col min="36" max="36" width="10.421875" style="384" bestFit="1" customWidth="1"/>
  </cols>
  <sheetData>
    <row r="1" spans="4:36" ht="15">
      <c r="D1" s="600" t="s">
        <v>311</v>
      </c>
      <c r="E1" s="600"/>
      <c r="F1" s="600"/>
      <c r="G1" s="600"/>
      <c r="H1" s="600"/>
      <c r="I1" s="600"/>
      <c r="J1" s="600"/>
      <c r="K1" s="600"/>
      <c r="L1" s="600"/>
      <c r="M1" s="600"/>
      <c r="N1" s="600"/>
      <c r="O1" s="600"/>
      <c r="P1" s="600"/>
      <c r="Q1" s="600"/>
      <c r="R1" s="600"/>
      <c r="S1" s="600"/>
      <c r="T1" s="600"/>
      <c r="U1" s="425"/>
      <c r="V1" s="425"/>
      <c r="W1" s="425"/>
      <c r="X1" s="425"/>
      <c r="Y1" s="425"/>
      <c r="Z1" s="425"/>
      <c r="AA1" s="601" t="s">
        <v>312</v>
      </c>
      <c r="AB1" s="601"/>
      <c r="AC1" s="601"/>
      <c r="AD1" s="601"/>
      <c r="AE1" s="601"/>
      <c r="AF1" s="601"/>
      <c r="AG1" s="601"/>
      <c r="AH1" s="601"/>
      <c r="AI1" s="601"/>
      <c r="AJ1" s="601"/>
    </row>
    <row r="2" spans="1:36" ht="15">
      <c r="A2" s="73"/>
      <c r="B2" s="73"/>
      <c r="C2" s="344"/>
      <c r="D2" s="430">
        <v>37703</v>
      </c>
      <c r="E2" s="430"/>
      <c r="F2" s="430">
        <v>37599</v>
      </c>
      <c r="G2" s="430"/>
      <c r="H2" s="430">
        <v>37521</v>
      </c>
      <c r="I2" s="430"/>
      <c r="J2" s="430">
        <v>37543</v>
      </c>
      <c r="K2" s="430"/>
      <c r="L2" s="430">
        <v>37430</v>
      </c>
      <c r="M2" s="430"/>
      <c r="N2" s="430">
        <v>37325</v>
      </c>
      <c r="O2" s="430"/>
      <c r="P2" s="430">
        <v>37251</v>
      </c>
      <c r="Q2" s="430"/>
      <c r="R2" s="430">
        <v>37144</v>
      </c>
      <c r="S2" s="430"/>
      <c r="T2" s="430">
        <v>37138</v>
      </c>
      <c r="U2" s="430"/>
      <c r="V2" s="430">
        <v>37921</v>
      </c>
      <c r="W2" s="430"/>
      <c r="X2" s="431">
        <v>38025</v>
      </c>
      <c r="Y2" s="431"/>
      <c r="Z2" s="431" t="s">
        <v>317</v>
      </c>
      <c r="AA2" s="432"/>
      <c r="AB2" s="432">
        <v>37704</v>
      </c>
      <c r="AC2" s="432"/>
      <c r="AD2" s="432">
        <v>37599</v>
      </c>
      <c r="AE2" s="432"/>
      <c r="AF2" s="432">
        <v>37525</v>
      </c>
      <c r="AG2" s="432"/>
      <c r="AH2" s="432">
        <v>37430</v>
      </c>
      <c r="AI2" s="432"/>
      <c r="AJ2" s="432">
        <v>37327</v>
      </c>
    </row>
    <row r="3" spans="1:36" ht="15">
      <c r="A3" s="433" t="s">
        <v>303</v>
      </c>
      <c r="B3" s="433" t="s">
        <v>304</v>
      </c>
      <c r="C3" s="344"/>
      <c r="D3" s="442"/>
      <c r="E3" s="426"/>
      <c r="F3" s="442"/>
      <c r="G3" s="442"/>
      <c r="H3" s="442"/>
      <c r="I3" s="442"/>
      <c r="J3" s="443"/>
      <c r="K3" s="442"/>
      <c r="L3" s="442"/>
      <c r="M3" s="444"/>
      <c r="N3" s="442"/>
      <c r="O3" s="442"/>
      <c r="P3" s="442"/>
      <c r="Q3" s="442"/>
      <c r="R3" s="444"/>
      <c r="S3" s="442"/>
      <c r="T3" s="442"/>
      <c r="U3" s="442"/>
      <c r="V3" s="445"/>
      <c r="W3" s="442"/>
      <c r="X3" s="446"/>
      <c r="Y3" s="446"/>
      <c r="Z3" s="446"/>
      <c r="AA3" s="447"/>
      <c r="AB3" s="447"/>
      <c r="AC3" s="448"/>
      <c r="AD3" s="447"/>
      <c r="AE3" s="447"/>
      <c r="AF3" s="448"/>
      <c r="AG3" s="447"/>
      <c r="AH3" s="429"/>
      <c r="AI3" s="448"/>
      <c r="AJ3" s="447"/>
    </row>
    <row r="4" spans="1:36" ht="15.75">
      <c r="A4" s="434">
        <v>1</v>
      </c>
      <c r="B4" s="435" t="s">
        <v>23</v>
      </c>
      <c r="C4" s="344"/>
      <c r="D4" s="449">
        <v>0.8</v>
      </c>
      <c r="E4" s="426" t="s">
        <v>277</v>
      </c>
      <c r="F4" s="442">
        <v>0.02</v>
      </c>
      <c r="G4" s="442" t="s">
        <v>277</v>
      </c>
      <c r="H4" s="442">
        <v>0.02</v>
      </c>
      <c r="I4" s="442"/>
      <c r="J4" s="450"/>
      <c r="K4" s="442"/>
      <c r="L4" s="449">
        <v>0.24</v>
      </c>
      <c r="M4" s="451"/>
      <c r="N4" s="449">
        <v>0.03</v>
      </c>
      <c r="O4" s="445" t="s">
        <v>277</v>
      </c>
      <c r="P4" s="442">
        <v>0.02</v>
      </c>
      <c r="Q4" s="442" t="s">
        <v>346</v>
      </c>
      <c r="R4" s="451">
        <v>0.4</v>
      </c>
      <c r="S4" s="452"/>
      <c r="T4" s="453"/>
      <c r="U4" s="442"/>
      <c r="V4" s="454">
        <v>0.2</v>
      </c>
      <c r="W4" s="442"/>
      <c r="X4" s="446"/>
      <c r="Y4" s="446"/>
      <c r="Z4" s="455">
        <f>MAX(D4:V4)</f>
        <v>0.8</v>
      </c>
      <c r="AA4" s="447"/>
      <c r="AB4" s="456">
        <v>3.9</v>
      </c>
      <c r="AC4" s="448" t="s">
        <v>277</v>
      </c>
      <c r="AD4" s="447">
        <v>0.02</v>
      </c>
      <c r="AE4" s="447" t="s">
        <v>277</v>
      </c>
      <c r="AF4" s="448">
        <v>0.02</v>
      </c>
      <c r="AG4" s="447"/>
      <c r="AH4" s="457">
        <v>1.4</v>
      </c>
      <c r="AI4" s="448" t="s">
        <v>277</v>
      </c>
      <c r="AJ4" s="447">
        <v>0.02</v>
      </c>
    </row>
    <row r="5" spans="1:36" ht="15.75">
      <c r="A5" s="434">
        <v>2</v>
      </c>
      <c r="B5" s="435" t="s">
        <v>156</v>
      </c>
      <c r="C5" s="345"/>
      <c r="D5" s="449">
        <v>7.4</v>
      </c>
      <c r="E5" s="426"/>
      <c r="F5" s="449">
        <v>13.3</v>
      </c>
      <c r="G5" s="449"/>
      <c r="H5" s="449">
        <v>12.2</v>
      </c>
      <c r="I5" s="442"/>
      <c r="J5" s="450"/>
      <c r="K5" s="442"/>
      <c r="L5" s="449">
        <v>11.1</v>
      </c>
      <c r="M5" s="451" t="s">
        <v>346</v>
      </c>
      <c r="N5" s="449">
        <v>0.6</v>
      </c>
      <c r="O5" s="458"/>
      <c r="P5" s="449">
        <v>10.8</v>
      </c>
      <c r="Q5" s="442"/>
      <c r="R5" s="444"/>
      <c r="S5" s="452" t="s">
        <v>277</v>
      </c>
      <c r="T5" s="459">
        <v>5</v>
      </c>
      <c r="U5" s="442"/>
      <c r="V5" s="454">
        <v>9.5</v>
      </c>
      <c r="W5" s="442"/>
      <c r="X5" s="455">
        <v>6.5</v>
      </c>
      <c r="Y5" s="446"/>
      <c r="Z5" s="455">
        <f aca="true" t="shared" si="0" ref="Z5:Z18">MAX(D5:V5)</f>
        <v>13.3</v>
      </c>
      <c r="AA5" s="447"/>
      <c r="AB5" s="456">
        <v>8.5</v>
      </c>
      <c r="AC5" s="460"/>
      <c r="AD5" s="456">
        <v>34.8</v>
      </c>
      <c r="AE5" s="456"/>
      <c r="AF5" s="460">
        <v>4.3</v>
      </c>
      <c r="AG5" s="456"/>
      <c r="AH5" s="457">
        <v>23.1</v>
      </c>
      <c r="AI5" s="460"/>
      <c r="AJ5" s="456">
        <v>8</v>
      </c>
    </row>
    <row r="6" spans="1:36" ht="15">
      <c r="A6" s="434">
        <v>3</v>
      </c>
      <c r="B6" s="435" t="s">
        <v>203</v>
      </c>
      <c r="C6" s="353" t="s">
        <v>277</v>
      </c>
      <c r="D6" s="442">
        <v>0.1</v>
      </c>
      <c r="E6" s="426" t="s">
        <v>277</v>
      </c>
      <c r="F6" s="442">
        <v>0.1</v>
      </c>
      <c r="G6" s="442" t="s">
        <v>277</v>
      </c>
      <c r="H6" s="442">
        <v>0.1</v>
      </c>
      <c r="I6" s="442"/>
      <c r="J6" s="450"/>
      <c r="K6" s="442" t="s">
        <v>277</v>
      </c>
      <c r="L6" s="442">
        <v>0.1</v>
      </c>
      <c r="M6" s="442" t="s">
        <v>277</v>
      </c>
      <c r="N6" s="442">
        <v>0.1</v>
      </c>
      <c r="O6" s="426" t="s">
        <v>277</v>
      </c>
      <c r="P6" s="442">
        <v>0.1</v>
      </c>
      <c r="Q6" s="442" t="s">
        <v>277</v>
      </c>
      <c r="R6" s="444">
        <v>0.1</v>
      </c>
      <c r="S6" s="452"/>
      <c r="T6" s="459"/>
      <c r="U6" s="442" t="s">
        <v>277</v>
      </c>
      <c r="V6" s="444">
        <v>0.1</v>
      </c>
      <c r="W6" s="442"/>
      <c r="X6" s="446"/>
      <c r="Y6" s="446"/>
      <c r="Z6" s="446">
        <f>MIN(D6:V6)</f>
        <v>0.1</v>
      </c>
      <c r="AA6" s="429" t="s">
        <v>277</v>
      </c>
      <c r="AB6" s="461">
        <v>0.1</v>
      </c>
      <c r="AC6" s="429" t="s">
        <v>277</v>
      </c>
      <c r="AD6" s="461">
        <v>0.1</v>
      </c>
      <c r="AE6" s="429" t="s">
        <v>277</v>
      </c>
      <c r="AF6" s="461">
        <v>0.1</v>
      </c>
      <c r="AG6" s="429" t="s">
        <v>277</v>
      </c>
      <c r="AH6" s="461">
        <v>0.1</v>
      </c>
      <c r="AI6" s="429" t="s">
        <v>277</v>
      </c>
      <c r="AJ6" s="461">
        <v>0.1</v>
      </c>
    </row>
    <row r="7" spans="1:67" ht="15">
      <c r="A7" s="434">
        <v>4</v>
      </c>
      <c r="B7" s="435" t="s">
        <v>204</v>
      </c>
      <c r="C7" s="353" t="s">
        <v>277</v>
      </c>
      <c r="D7" s="426">
        <v>0.02</v>
      </c>
      <c r="E7" s="426" t="s">
        <v>277</v>
      </c>
      <c r="F7" s="426">
        <v>0.02</v>
      </c>
      <c r="G7" s="426" t="s">
        <v>277</v>
      </c>
      <c r="H7" s="426">
        <v>0.02</v>
      </c>
      <c r="I7" s="426"/>
      <c r="J7" s="450"/>
      <c r="K7" s="426" t="s">
        <v>277</v>
      </c>
      <c r="L7" s="426">
        <v>0.02</v>
      </c>
      <c r="M7" s="426" t="s">
        <v>277</v>
      </c>
      <c r="N7" s="426">
        <v>0.02</v>
      </c>
      <c r="O7" s="426" t="s">
        <v>277</v>
      </c>
      <c r="P7" s="426">
        <v>0.02</v>
      </c>
      <c r="Q7" s="426"/>
      <c r="R7" s="444"/>
      <c r="S7" s="452" t="s">
        <v>277</v>
      </c>
      <c r="T7" s="459">
        <v>5</v>
      </c>
      <c r="U7" s="426" t="s">
        <v>277</v>
      </c>
      <c r="V7" s="445">
        <v>0.05</v>
      </c>
      <c r="W7" s="426" t="s">
        <v>277</v>
      </c>
      <c r="X7" s="445">
        <v>0.05</v>
      </c>
      <c r="Y7" s="428"/>
      <c r="Z7" s="446">
        <f>MIN(D7:V7)</f>
        <v>0.02</v>
      </c>
      <c r="AA7" s="429" t="s">
        <v>277</v>
      </c>
      <c r="AB7" s="461">
        <v>0.02</v>
      </c>
      <c r="AC7" s="429" t="s">
        <v>277</v>
      </c>
      <c r="AD7" s="461">
        <v>0.02</v>
      </c>
      <c r="AE7" s="429" t="s">
        <v>277</v>
      </c>
      <c r="AF7" s="461">
        <v>0.02</v>
      </c>
      <c r="AG7" s="429" t="s">
        <v>277</v>
      </c>
      <c r="AH7" s="461">
        <v>0.02</v>
      </c>
      <c r="AI7" s="429" t="s">
        <v>277</v>
      </c>
      <c r="AJ7" s="461">
        <v>0.02</v>
      </c>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row>
    <row r="8" spans="1:36" ht="15.75">
      <c r="A8" s="434" t="s">
        <v>27</v>
      </c>
      <c r="B8" s="435" t="s">
        <v>305</v>
      </c>
      <c r="C8" s="344"/>
      <c r="D8" s="449">
        <v>8.8</v>
      </c>
      <c r="E8" s="426"/>
      <c r="F8" s="449">
        <v>366</v>
      </c>
      <c r="G8" s="449"/>
      <c r="H8" s="449">
        <v>2.8</v>
      </c>
      <c r="I8" s="442"/>
      <c r="J8" s="450"/>
      <c r="K8" s="442"/>
      <c r="L8" s="449">
        <v>1</v>
      </c>
      <c r="M8" s="451" t="s">
        <v>346</v>
      </c>
      <c r="N8" s="449">
        <v>0.3</v>
      </c>
      <c r="O8" s="449"/>
      <c r="P8" s="449">
        <v>1.7</v>
      </c>
      <c r="Q8" s="442"/>
      <c r="R8" s="444"/>
      <c r="S8" s="452" t="s">
        <v>277</v>
      </c>
      <c r="T8" s="459">
        <v>10</v>
      </c>
      <c r="U8" s="442"/>
      <c r="V8" s="454">
        <v>0.7</v>
      </c>
      <c r="W8" s="442"/>
      <c r="X8" s="455">
        <v>1.2</v>
      </c>
      <c r="Y8" s="446"/>
      <c r="Z8" s="455">
        <f t="shared" si="0"/>
        <v>366</v>
      </c>
      <c r="AA8" s="447"/>
      <c r="AB8" s="456">
        <v>22</v>
      </c>
      <c r="AC8" s="448"/>
      <c r="AD8" s="456">
        <v>12.1</v>
      </c>
      <c r="AE8" s="447"/>
      <c r="AF8" s="448"/>
      <c r="AG8" s="447"/>
      <c r="AH8" s="456">
        <v>2.9</v>
      </c>
      <c r="AI8" s="448"/>
      <c r="AJ8" s="456">
        <v>0.5</v>
      </c>
    </row>
    <row r="9" spans="1:36" ht="15.75">
      <c r="A9" s="434" t="s">
        <v>29</v>
      </c>
      <c r="B9" s="435" t="s">
        <v>297</v>
      </c>
      <c r="C9" s="344"/>
      <c r="D9" s="442"/>
      <c r="E9" s="426"/>
      <c r="F9" s="426"/>
      <c r="G9" s="426" t="s">
        <v>277</v>
      </c>
      <c r="H9" s="426">
        <v>2</v>
      </c>
      <c r="I9" s="442" t="s">
        <v>277</v>
      </c>
      <c r="J9" s="450">
        <v>2</v>
      </c>
      <c r="K9" s="442"/>
      <c r="L9" s="442"/>
      <c r="M9" s="444" t="s">
        <v>277</v>
      </c>
      <c r="N9" s="442">
        <v>2</v>
      </c>
      <c r="O9" s="426" t="s">
        <v>277</v>
      </c>
      <c r="P9" s="442">
        <v>2</v>
      </c>
      <c r="Q9" s="442" t="s">
        <v>277</v>
      </c>
      <c r="R9" s="444">
        <v>2</v>
      </c>
      <c r="S9" s="452"/>
      <c r="T9" s="459"/>
      <c r="U9" s="442"/>
      <c r="V9" s="445"/>
      <c r="W9" s="442"/>
      <c r="X9" s="446"/>
      <c r="Y9" s="446"/>
      <c r="Z9" s="446">
        <f t="shared" si="0"/>
        <v>2</v>
      </c>
      <c r="AA9" s="447"/>
      <c r="AB9" s="456"/>
      <c r="AC9" s="448"/>
      <c r="AD9" s="447"/>
      <c r="AE9" s="447" t="s">
        <v>277</v>
      </c>
      <c r="AF9" s="448">
        <v>2</v>
      </c>
      <c r="AG9" s="447" t="s">
        <v>277</v>
      </c>
      <c r="AH9" s="429">
        <v>2</v>
      </c>
      <c r="AI9" s="448" t="s">
        <v>277</v>
      </c>
      <c r="AJ9" s="447">
        <v>2</v>
      </c>
    </row>
    <row r="10" spans="1:36" ht="15.75">
      <c r="A10" s="434">
        <v>6</v>
      </c>
      <c r="B10" s="435" t="s">
        <v>239</v>
      </c>
      <c r="C10" s="344"/>
      <c r="D10" s="449">
        <v>27.2</v>
      </c>
      <c r="E10" s="426"/>
      <c r="F10" s="449">
        <v>46.1</v>
      </c>
      <c r="G10" s="449"/>
      <c r="H10" s="449">
        <v>30.5</v>
      </c>
      <c r="I10" s="449"/>
      <c r="J10" s="462"/>
      <c r="K10" s="442"/>
      <c r="L10" s="449">
        <v>29.4</v>
      </c>
      <c r="M10" s="451"/>
      <c r="N10" s="449">
        <v>1.9</v>
      </c>
      <c r="O10" s="449"/>
      <c r="P10" s="449">
        <v>22.2</v>
      </c>
      <c r="Q10" s="442"/>
      <c r="R10" s="444"/>
      <c r="S10" s="452" t="s">
        <v>277</v>
      </c>
      <c r="T10" s="459">
        <v>10</v>
      </c>
      <c r="U10" s="442"/>
      <c r="V10" s="454">
        <v>30.6</v>
      </c>
      <c r="W10" s="442"/>
      <c r="X10" s="455">
        <v>25.1</v>
      </c>
      <c r="Y10" s="446"/>
      <c r="Z10" s="455">
        <f t="shared" si="0"/>
        <v>46.1</v>
      </c>
      <c r="AA10" s="447"/>
      <c r="AB10" s="456">
        <v>26.9</v>
      </c>
      <c r="AC10" s="448"/>
      <c r="AD10" s="456">
        <v>33.7</v>
      </c>
      <c r="AE10" s="456"/>
      <c r="AF10" s="460">
        <v>9.2</v>
      </c>
      <c r="AG10" s="456"/>
      <c r="AH10" s="456">
        <v>57.7</v>
      </c>
      <c r="AI10" s="460"/>
      <c r="AJ10" s="456">
        <v>2.7</v>
      </c>
    </row>
    <row r="11" spans="1:36" ht="15.75">
      <c r="A11" s="434">
        <v>7</v>
      </c>
      <c r="B11" s="435" t="s">
        <v>206</v>
      </c>
      <c r="C11" s="344"/>
      <c r="D11" s="449">
        <v>2.3</v>
      </c>
      <c r="E11" s="426"/>
      <c r="F11" s="449">
        <v>10.5</v>
      </c>
      <c r="G11" s="426" t="s">
        <v>277</v>
      </c>
      <c r="H11" s="442">
        <v>0.01</v>
      </c>
      <c r="I11" s="442"/>
      <c r="J11" s="450"/>
      <c r="K11" s="442"/>
      <c r="L11" s="449">
        <v>8.7</v>
      </c>
      <c r="M11" s="451" t="s">
        <v>346</v>
      </c>
      <c r="N11" s="449">
        <v>0.15</v>
      </c>
      <c r="O11" s="449"/>
      <c r="P11" s="449">
        <v>1.5</v>
      </c>
      <c r="Q11" s="442"/>
      <c r="R11" s="444"/>
      <c r="S11" s="452"/>
      <c r="T11" s="463">
        <v>110</v>
      </c>
      <c r="U11" s="442"/>
      <c r="V11" s="454">
        <v>0.5</v>
      </c>
      <c r="W11" s="442"/>
      <c r="X11" s="455">
        <v>0.9</v>
      </c>
      <c r="Y11" s="446"/>
      <c r="Z11" s="455">
        <f t="shared" si="0"/>
        <v>110</v>
      </c>
      <c r="AA11" s="447"/>
      <c r="AB11" s="456">
        <v>4.5</v>
      </c>
      <c r="AC11" s="448"/>
      <c r="AD11" s="456">
        <v>3.5</v>
      </c>
      <c r="AE11" s="456"/>
      <c r="AF11" s="460">
        <v>4.6</v>
      </c>
      <c r="AG11" s="456"/>
      <c r="AH11" s="456">
        <v>3.3</v>
      </c>
      <c r="AI11" s="448" t="s">
        <v>277</v>
      </c>
      <c r="AJ11" s="447">
        <v>0.01</v>
      </c>
    </row>
    <row r="12" spans="1:36" ht="15.75">
      <c r="A12" s="434">
        <v>8</v>
      </c>
      <c r="B12" s="435" t="s">
        <v>207</v>
      </c>
      <c r="C12" s="346"/>
      <c r="D12" s="449">
        <v>0.0033</v>
      </c>
      <c r="E12" s="426"/>
      <c r="F12" s="449">
        <v>0.00205</v>
      </c>
      <c r="G12" s="449"/>
      <c r="H12" s="449">
        <v>0.0043</v>
      </c>
      <c r="I12" s="442"/>
      <c r="J12" s="450"/>
      <c r="K12" s="442"/>
      <c r="L12" s="449">
        <v>0.00463</v>
      </c>
      <c r="M12" s="451"/>
      <c r="N12" s="449">
        <v>0.00398</v>
      </c>
      <c r="O12" s="449"/>
      <c r="P12" s="463" t="s">
        <v>348</v>
      </c>
      <c r="Q12" s="442"/>
      <c r="R12" s="464" t="s">
        <v>349</v>
      </c>
      <c r="S12" s="452"/>
      <c r="T12" s="453"/>
      <c r="U12" s="442"/>
      <c r="V12" s="454">
        <v>0.00328</v>
      </c>
      <c r="W12" s="442"/>
      <c r="X12" s="455">
        <v>0.00375</v>
      </c>
      <c r="Y12" s="446"/>
      <c r="Z12" s="455">
        <f t="shared" si="0"/>
        <v>0.00463</v>
      </c>
      <c r="AA12" s="447"/>
      <c r="AB12" s="456">
        <v>0.0136</v>
      </c>
      <c r="AC12" s="448"/>
      <c r="AD12" s="456">
        <v>0.00927</v>
      </c>
      <c r="AE12" s="456"/>
      <c r="AF12" s="465">
        <v>0.0121</v>
      </c>
      <c r="AG12" s="456"/>
      <c r="AH12" s="456">
        <v>0.007</v>
      </c>
      <c r="AI12" s="460"/>
      <c r="AJ12" s="456">
        <v>0.0083</v>
      </c>
    </row>
    <row r="13" spans="1:36" ht="15.75">
      <c r="A13" s="434">
        <v>9</v>
      </c>
      <c r="B13" s="435" t="s">
        <v>208</v>
      </c>
      <c r="C13" s="344"/>
      <c r="D13" s="449">
        <v>16</v>
      </c>
      <c r="E13" s="426"/>
      <c r="F13" s="449">
        <v>320</v>
      </c>
      <c r="G13" s="449"/>
      <c r="H13" s="449">
        <v>13</v>
      </c>
      <c r="I13" s="442"/>
      <c r="J13" s="450"/>
      <c r="K13" s="442"/>
      <c r="L13" s="449">
        <v>10</v>
      </c>
      <c r="M13" s="451"/>
      <c r="N13" s="449">
        <v>1</v>
      </c>
      <c r="O13" s="449"/>
      <c r="P13" s="449">
        <v>12</v>
      </c>
      <c r="Q13" s="442"/>
      <c r="R13" s="451"/>
      <c r="S13" s="452" t="s">
        <v>277</v>
      </c>
      <c r="T13" s="452">
        <v>20</v>
      </c>
      <c r="U13" s="442"/>
      <c r="V13" s="454">
        <v>9.2</v>
      </c>
      <c r="W13" s="442"/>
      <c r="X13" s="455">
        <v>7.2</v>
      </c>
      <c r="Y13" s="446"/>
      <c r="Z13" s="455">
        <f t="shared" si="0"/>
        <v>320</v>
      </c>
      <c r="AA13" s="447"/>
      <c r="AB13" s="456">
        <v>13</v>
      </c>
      <c r="AC13" s="448"/>
      <c r="AD13" s="456">
        <v>14</v>
      </c>
      <c r="AE13" s="456"/>
      <c r="AF13" s="460">
        <v>12</v>
      </c>
      <c r="AG13" s="456"/>
      <c r="AH13" s="456">
        <v>0.0074</v>
      </c>
      <c r="AI13" s="460"/>
      <c r="AJ13" s="456">
        <v>0.001</v>
      </c>
    </row>
    <row r="14" spans="1:36" ht="15.75">
      <c r="A14" s="434">
        <v>10</v>
      </c>
      <c r="B14" s="435" t="s">
        <v>209</v>
      </c>
      <c r="C14" s="344"/>
      <c r="D14" s="449">
        <v>23</v>
      </c>
      <c r="E14" s="426"/>
      <c r="F14" s="449">
        <v>39.8</v>
      </c>
      <c r="G14" s="449"/>
      <c r="H14" s="449">
        <v>32.1</v>
      </c>
      <c r="I14" s="442"/>
      <c r="J14" s="450"/>
      <c r="K14" s="442"/>
      <c r="L14" s="449">
        <v>31.4</v>
      </c>
      <c r="M14" s="451"/>
      <c r="N14" s="449">
        <v>2.2</v>
      </c>
      <c r="O14" s="449"/>
      <c r="P14" s="449">
        <v>34</v>
      </c>
      <c r="Q14" s="449"/>
      <c r="R14" s="451">
        <v>41</v>
      </c>
      <c r="S14" s="452"/>
      <c r="T14" s="453"/>
      <c r="U14" s="442"/>
      <c r="V14" s="454">
        <v>32.2</v>
      </c>
      <c r="W14" s="442"/>
      <c r="X14" s="446"/>
      <c r="Y14" s="446"/>
      <c r="Z14" s="455">
        <f t="shared" si="0"/>
        <v>41</v>
      </c>
      <c r="AA14" s="447"/>
      <c r="AB14" s="456">
        <v>24.2</v>
      </c>
      <c r="AC14" s="448"/>
      <c r="AD14" s="456">
        <v>144</v>
      </c>
      <c r="AE14" s="456"/>
      <c r="AF14" s="460">
        <v>9.4</v>
      </c>
      <c r="AG14" s="456"/>
      <c r="AH14" s="456">
        <v>64.1</v>
      </c>
      <c r="AI14" s="460"/>
      <c r="AJ14" s="456">
        <v>2.3</v>
      </c>
    </row>
    <row r="15" spans="1:36" ht="15.75">
      <c r="A15" s="434">
        <v>11</v>
      </c>
      <c r="B15" s="435" t="s">
        <v>210</v>
      </c>
      <c r="C15" s="344" t="s">
        <v>277</v>
      </c>
      <c r="D15" s="442"/>
      <c r="E15" s="426" t="s">
        <v>277</v>
      </c>
      <c r="F15" s="442">
        <v>0.08</v>
      </c>
      <c r="G15" s="442" t="s">
        <v>277</v>
      </c>
      <c r="H15" s="442">
        <v>0.08</v>
      </c>
      <c r="I15" s="442"/>
      <c r="J15" s="450"/>
      <c r="K15" s="442"/>
      <c r="L15" s="449">
        <v>1.55</v>
      </c>
      <c r="M15" s="444" t="s">
        <v>277</v>
      </c>
      <c r="N15" s="442">
        <v>0.08</v>
      </c>
      <c r="O15" s="426" t="s">
        <v>277</v>
      </c>
      <c r="P15" s="442">
        <v>0.08</v>
      </c>
      <c r="Q15" s="442"/>
      <c r="R15" s="444"/>
      <c r="S15" s="452" t="s">
        <v>277</v>
      </c>
      <c r="T15" s="452">
        <v>5</v>
      </c>
      <c r="U15" s="442" t="s">
        <v>277</v>
      </c>
      <c r="V15" s="445">
        <v>0.1</v>
      </c>
      <c r="W15" s="442" t="s">
        <v>277</v>
      </c>
      <c r="X15" s="445">
        <v>0.1</v>
      </c>
      <c r="Y15" s="446"/>
      <c r="Z15" s="455">
        <v>1.55</v>
      </c>
      <c r="AA15" s="447"/>
      <c r="AB15" s="456">
        <v>0.08</v>
      </c>
      <c r="AC15" s="448" t="s">
        <v>277</v>
      </c>
      <c r="AD15" s="447">
        <v>0.08</v>
      </c>
      <c r="AE15" s="447" t="s">
        <v>277</v>
      </c>
      <c r="AF15" s="448">
        <v>0.08</v>
      </c>
      <c r="AG15" s="447" t="s">
        <v>277</v>
      </c>
      <c r="AH15" s="429">
        <v>0.08</v>
      </c>
      <c r="AI15" s="448" t="s">
        <v>277</v>
      </c>
      <c r="AJ15" s="447">
        <v>0.08</v>
      </c>
    </row>
    <row r="16" spans="1:36" ht="15.75">
      <c r="A16" s="434">
        <v>12</v>
      </c>
      <c r="B16" s="435" t="s">
        <v>30</v>
      </c>
      <c r="C16" s="344" t="s">
        <v>277</v>
      </c>
      <c r="D16" s="442"/>
      <c r="E16" s="426" t="s">
        <v>346</v>
      </c>
      <c r="F16" s="449">
        <v>0.3</v>
      </c>
      <c r="G16" s="442" t="s">
        <v>277</v>
      </c>
      <c r="H16" s="442">
        <v>0.01</v>
      </c>
      <c r="I16" s="442"/>
      <c r="J16" s="450"/>
      <c r="K16" s="442" t="s">
        <v>277</v>
      </c>
      <c r="L16" s="442">
        <v>0.01</v>
      </c>
      <c r="M16" s="444" t="s">
        <v>346</v>
      </c>
      <c r="N16" s="449">
        <v>0.05</v>
      </c>
      <c r="O16" s="426" t="s">
        <v>277</v>
      </c>
      <c r="P16" s="442">
        <v>0.01</v>
      </c>
      <c r="Q16" s="442" t="s">
        <v>277</v>
      </c>
      <c r="R16" s="444">
        <v>0.01</v>
      </c>
      <c r="S16" s="452"/>
      <c r="T16" s="452"/>
      <c r="U16" s="442" t="s">
        <v>277</v>
      </c>
      <c r="V16" s="445">
        <v>0.2</v>
      </c>
      <c r="W16" s="442"/>
      <c r="X16" s="446"/>
      <c r="Y16" s="446"/>
      <c r="Z16" s="455">
        <f t="shared" si="0"/>
        <v>0.3</v>
      </c>
      <c r="AA16" s="447"/>
      <c r="AB16" s="456">
        <v>0.01</v>
      </c>
      <c r="AC16" s="448" t="s">
        <v>346</v>
      </c>
      <c r="AD16" s="456">
        <v>0.17</v>
      </c>
      <c r="AE16" s="447" t="s">
        <v>277</v>
      </c>
      <c r="AF16" s="448">
        <v>0.01</v>
      </c>
      <c r="AG16" s="447" t="s">
        <v>277</v>
      </c>
      <c r="AH16" s="429">
        <v>0.01</v>
      </c>
      <c r="AI16" s="448" t="s">
        <v>277</v>
      </c>
      <c r="AJ16" s="447">
        <v>0.01</v>
      </c>
    </row>
    <row r="17" spans="1:36" ht="15.75">
      <c r="A17" s="434">
        <v>13</v>
      </c>
      <c r="B17" s="436" t="s">
        <v>211</v>
      </c>
      <c r="C17" s="344"/>
      <c r="D17" s="449">
        <v>18</v>
      </c>
      <c r="E17" s="426" t="s">
        <v>277</v>
      </c>
      <c r="F17" s="442">
        <v>0.3</v>
      </c>
      <c r="G17" s="442" t="s">
        <v>277</v>
      </c>
      <c r="H17" s="442">
        <v>0.3</v>
      </c>
      <c r="I17" s="442"/>
      <c r="J17" s="450"/>
      <c r="K17" s="442"/>
      <c r="L17" s="449">
        <v>29</v>
      </c>
      <c r="M17" s="451"/>
      <c r="N17" s="449">
        <v>1</v>
      </c>
      <c r="O17" s="449"/>
      <c r="P17" s="449">
        <v>41</v>
      </c>
      <c r="Q17" s="449"/>
      <c r="R17" s="444"/>
      <c r="S17" s="452" t="s">
        <v>277</v>
      </c>
      <c r="T17" s="452">
        <v>20</v>
      </c>
      <c r="U17" s="442"/>
      <c r="V17" s="454">
        <v>8.7</v>
      </c>
      <c r="W17" s="442"/>
      <c r="X17" s="455">
        <v>113</v>
      </c>
      <c r="Y17" s="446"/>
      <c r="Z17" s="455">
        <f>MAX(D17:X17)</f>
        <v>113</v>
      </c>
      <c r="AA17" s="447"/>
      <c r="AB17" s="456">
        <v>18</v>
      </c>
      <c r="AC17" s="448"/>
      <c r="AD17" s="456">
        <v>117</v>
      </c>
      <c r="AE17" s="447"/>
      <c r="AF17" s="460">
        <v>16</v>
      </c>
      <c r="AG17" s="456"/>
      <c r="AH17" s="456">
        <v>22</v>
      </c>
      <c r="AI17" s="460"/>
      <c r="AJ17" s="456">
        <v>2</v>
      </c>
    </row>
    <row r="18" spans="1:36" ht="15.75">
      <c r="A18" s="434">
        <v>14</v>
      </c>
      <c r="B18" s="435" t="s">
        <v>212</v>
      </c>
      <c r="C18" s="344" t="s">
        <v>277</v>
      </c>
      <c r="D18" s="442">
        <v>2</v>
      </c>
      <c r="E18" s="426" t="s">
        <v>277</v>
      </c>
      <c r="F18" s="442">
        <v>2</v>
      </c>
      <c r="G18" s="442" t="s">
        <v>277</v>
      </c>
      <c r="H18" s="466" t="s">
        <v>306</v>
      </c>
      <c r="I18" s="442" t="s">
        <v>277</v>
      </c>
      <c r="J18" s="450">
        <v>2</v>
      </c>
      <c r="K18" s="442"/>
      <c r="L18" s="449"/>
      <c r="M18" s="444"/>
      <c r="N18" s="442"/>
      <c r="O18" s="426" t="s">
        <v>277</v>
      </c>
      <c r="P18" s="442">
        <v>2</v>
      </c>
      <c r="Q18" s="449"/>
      <c r="R18" s="444"/>
      <c r="S18" s="442" t="s">
        <v>277</v>
      </c>
      <c r="T18" s="426">
        <v>10</v>
      </c>
      <c r="U18" s="442" t="s">
        <v>277</v>
      </c>
      <c r="V18" s="445">
        <v>3</v>
      </c>
      <c r="W18" s="442" t="s">
        <v>277</v>
      </c>
      <c r="X18" s="445">
        <v>3</v>
      </c>
      <c r="Y18" s="446"/>
      <c r="Z18" s="446">
        <f t="shared" si="0"/>
        <v>10</v>
      </c>
      <c r="AA18" s="447" t="s">
        <v>277</v>
      </c>
      <c r="AB18" s="429">
        <v>2</v>
      </c>
      <c r="AC18" s="448"/>
      <c r="AD18" s="456">
        <v>6</v>
      </c>
      <c r="AE18" s="456"/>
      <c r="AF18" s="460">
        <v>30</v>
      </c>
      <c r="AG18" s="447" t="s">
        <v>277</v>
      </c>
      <c r="AH18" s="429">
        <v>2</v>
      </c>
      <c r="AI18" s="448" t="s">
        <v>277</v>
      </c>
      <c r="AJ18" s="447">
        <v>2</v>
      </c>
    </row>
    <row r="19" spans="1:36" ht="15.75">
      <c r="A19" s="437"/>
      <c r="B19" s="438" t="s">
        <v>350</v>
      </c>
      <c r="C19" s="344"/>
      <c r="D19" s="442"/>
      <c r="E19" s="426"/>
      <c r="F19" s="442"/>
      <c r="G19" s="442"/>
      <c r="H19" s="442"/>
      <c r="I19" s="449"/>
      <c r="J19" s="444"/>
      <c r="K19" s="467"/>
      <c r="L19" s="442"/>
      <c r="M19" s="444"/>
      <c r="N19" s="442"/>
      <c r="O19" s="426"/>
      <c r="P19" s="468">
        <f>0.0000059</f>
        <v>5.9E-06</v>
      </c>
      <c r="Q19" s="449" t="s">
        <v>277</v>
      </c>
      <c r="R19" s="469">
        <v>1E-05</v>
      </c>
      <c r="S19" s="442"/>
      <c r="T19" s="449"/>
      <c r="U19" s="442"/>
      <c r="V19" s="449"/>
      <c r="W19" s="442"/>
      <c r="X19" s="446"/>
      <c r="Y19" s="446"/>
      <c r="Z19" s="446"/>
      <c r="AA19" s="447"/>
      <c r="AB19" s="447"/>
      <c r="AC19" s="448"/>
      <c r="AD19" s="470" t="s">
        <v>320</v>
      </c>
      <c r="AE19" s="447"/>
      <c r="AF19" s="448"/>
      <c r="AG19" s="447"/>
      <c r="AH19" s="471">
        <v>6.01E-05</v>
      </c>
      <c r="AI19" s="448"/>
      <c r="AJ19" s="447"/>
    </row>
    <row r="20" spans="1:36" ht="15.75">
      <c r="A20" s="437">
        <v>17</v>
      </c>
      <c r="B20" s="438" t="s">
        <v>32</v>
      </c>
      <c r="C20" s="344"/>
      <c r="D20" s="442"/>
      <c r="E20" s="426"/>
      <c r="F20" s="442"/>
      <c r="G20" s="442"/>
      <c r="H20" s="442"/>
      <c r="I20" s="442"/>
      <c r="J20" s="444"/>
      <c r="K20" s="442"/>
      <c r="L20" s="449"/>
      <c r="M20" s="444"/>
      <c r="N20" s="442"/>
      <c r="O20" s="426" t="s">
        <v>277</v>
      </c>
      <c r="P20" s="442">
        <v>2.5</v>
      </c>
      <c r="Q20" s="426" t="s">
        <v>277</v>
      </c>
      <c r="R20" s="442">
        <v>2.5</v>
      </c>
      <c r="S20" s="442"/>
      <c r="T20" s="449"/>
      <c r="U20" s="442"/>
      <c r="V20" s="449"/>
      <c r="W20" s="442"/>
      <c r="X20" s="446"/>
      <c r="Y20" s="446"/>
      <c r="Z20" s="446"/>
      <c r="AA20" s="447"/>
      <c r="AB20" s="447"/>
      <c r="AC20" s="429" t="s">
        <v>277</v>
      </c>
      <c r="AD20" s="447">
        <v>2.5</v>
      </c>
      <c r="AE20" s="447"/>
      <c r="AF20" s="448"/>
      <c r="AG20" s="429" t="s">
        <v>277</v>
      </c>
      <c r="AH20" s="447">
        <v>2.5</v>
      </c>
      <c r="AI20" s="448"/>
      <c r="AJ20" s="447"/>
    </row>
    <row r="21" spans="1:36" ht="15.75">
      <c r="A21" s="437">
        <v>18</v>
      </c>
      <c r="B21" s="438" t="s">
        <v>33</v>
      </c>
      <c r="C21" s="344"/>
      <c r="D21" s="442"/>
      <c r="E21" s="426"/>
      <c r="F21" s="442"/>
      <c r="G21" s="442"/>
      <c r="H21" s="442"/>
      <c r="I21" s="442"/>
      <c r="J21" s="444"/>
      <c r="K21" s="442"/>
      <c r="L21" s="449"/>
      <c r="M21" s="444"/>
      <c r="N21" s="442"/>
      <c r="O21" s="426" t="s">
        <v>277</v>
      </c>
      <c r="P21" s="442">
        <v>1</v>
      </c>
      <c r="Q21" s="426" t="s">
        <v>277</v>
      </c>
      <c r="R21" s="442">
        <v>1</v>
      </c>
      <c r="S21" s="442"/>
      <c r="T21" s="449"/>
      <c r="U21" s="442"/>
      <c r="V21" s="449"/>
      <c r="W21" s="442"/>
      <c r="X21" s="446"/>
      <c r="Y21" s="446"/>
      <c r="Z21" s="446"/>
      <c r="AA21" s="447"/>
      <c r="AB21" s="456"/>
      <c r="AC21" s="429" t="s">
        <v>277</v>
      </c>
      <c r="AD21" s="447">
        <v>2</v>
      </c>
      <c r="AE21" s="447"/>
      <c r="AF21" s="448"/>
      <c r="AG21" s="429" t="s">
        <v>277</v>
      </c>
      <c r="AH21" s="447">
        <v>1</v>
      </c>
      <c r="AI21" s="448"/>
      <c r="AJ21" s="447"/>
    </row>
    <row r="22" spans="1:36" ht="15.75">
      <c r="A22" s="437">
        <v>19</v>
      </c>
      <c r="B22" s="438" t="s">
        <v>34</v>
      </c>
      <c r="C22" s="347"/>
      <c r="D22" s="442"/>
      <c r="E22" s="467"/>
      <c r="F22" s="442"/>
      <c r="G22" s="442"/>
      <c r="H22" s="442"/>
      <c r="I22" s="442"/>
      <c r="J22" s="444"/>
      <c r="K22" s="442"/>
      <c r="L22" s="449"/>
      <c r="M22" s="444"/>
      <c r="N22" s="442"/>
      <c r="O22" s="426" t="s">
        <v>277</v>
      </c>
      <c r="P22" s="445">
        <v>0.5</v>
      </c>
      <c r="Q22" s="426" t="s">
        <v>277</v>
      </c>
      <c r="R22" s="445">
        <v>0.5</v>
      </c>
      <c r="S22" s="442"/>
      <c r="T22" s="458"/>
      <c r="U22" s="442"/>
      <c r="V22" s="449"/>
      <c r="W22" s="467"/>
      <c r="X22" s="472"/>
      <c r="Y22" s="472"/>
      <c r="Z22" s="455"/>
      <c r="AA22" s="447"/>
      <c r="AB22" s="456"/>
      <c r="AC22" s="429" t="s">
        <v>277</v>
      </c>
      <c r="AD22" s="461">
        <v>0.5</v>
      </c>
      <c r="AE22" s="447"/>
      <c r="AF22" s="448"/>
      <c r="AG22" s="429" t="s">
        <v>277</v>
      </c>
      <c r="AH22" s="461">
        <v>0.5</v>
      </c>
      <c r="AI22" s="448"/>
      <c r="AJ22" s="473"/>
    </row>
    <row r="23" spans="1:36" ht="15.75">
      <c r="A23" s="437">
        <v>20</v>
      </c>
      <c r="B23" s="438" t="s">
        <v>35</v>
      </c>
      <c r="C23" s="347"/>
      <c r="D23" s="442"/>
      <c r="E23" s="426"/>
      <c r="F23" s="442"/>
      <c r="G23" s="442"/>
      <c r="H23" s="442"/>
      <c r="I23" s="442"/>
      <c r="J23" s="444"/>
      <c r="K23" s="442"/>
      <c r="L23" s="449"/>
      <c r="M23" s="444"/>
      <c r="N23" s="442"/>
      <c r="O23" s="426" t="s">
        <v>277</v>
      </c>
      <c r="P23" s="445">
        <v>0.5</v>
      </c>
      <c r="Q23" s="426" t="s">
        <v>277</v>
      </c>
      <c r="R23" s="445">
        <v>0.5</v>
      </c>
      <c r="S23" s="442"/>
      <c r="T23" s="449"/>
      <c r="U23" s="442"/>
      <c r="V23" s="449"/>
      <c r="W23" s="467"/>
      <c r="X23" s="472"/>
      <c r="Y23" s="472"/>
      <c r="Z23" s="455"/>
      <c r="AA23" s="447"/>
      <c r="AB23" s="456"/>
      <c r="AC23" s="429" t="s">
        <v>277</v>
      </c>
      <c r="AD23" s="461">
        <v>0.5</v>
      </c>
      <c r="AE23" s="447"/>
      <c r="AF23" s="448"/>
      <c r="AG23" s="429" t="s">
        <v>277</v>
      </c>
      <c r="AH23" s="461">
        <v>0.5</v>
      </c>
      <c r="AI23" s="448"/>
      <c r="AJ23" s="447"/>
    </row>
    <row r="24" spans="1:36" ht="15.75">
      <c r="A24" s="437">
        <v>21</v>
      </c>
      <c r="B24" s="438" t="s">
        <v>36</v>
      </c>
      <c r="C24" s="347"/>
      <c r="D24" s="442"/>
      <c r="E24" s="426"/>
      <c r="F24" s="442"/>
      <c r="G24" s="442"/>
      <c r="H24" s="442"/>
      <c r="I24" s="442"/>
      <c r="J24" s="444"/>
      <c r="K24" s="467"/>
      <c r="L24" s="449"/>
      <c r="M24" s="444"/>
      <c r="N24" s="442"/>
      <c r="O24" s="426" t="s">
        <v>277</v>
      </c>
      <c r="P24" s="445">
        <v>0.5</v>
      </c>
      <c r="Q24" s="426" t="s">
        <v>277</v>
      </c>
      <c r="R24" s="445">
        <v>0.5</v>
      </c>
      <c r="S24" s="442"/>
      <c r="T24" s="449"/>
      <c r="U24" s="442"/>
      <c r="V24" s="449"/>
      <c r="W24" s="442"/>
      <c r="X24" s="446"/>
      <c r="Y24" s="446"/>
      <c r="Z24" s="446"/>
      <c r="AA24" s="447"/>
      <c r="AB24" s="456"/>
      <c r="AC24" s="429" t="s">
        <v>277</v>
      </c>
      <c r="AD24" s="461">
        <v>0.5</v>
      </c>
      <c r="AE24" s="456"/>
      <c r="AF24" s="448"/>
      <c r="AG24" s="429" t="s">
        <v>277</v>
      </c>
      <c r="AH24" s="461">
        <v>0.5</v>
      </c>
      <c r="AI24" s="448"/>
      <c r="AJ24" s="447"/>
    </row>
    <row r="25" spans="1:36" ht="15.75">
      <c r="A25" s="437">
        <v>22</v>
      </c>
      <c r="B25" s="438" t="s">
        <v>37</v>
      </c>
      <c r="C25" s="347"/>
      <c r="D25" s="442"/>
      <c r="E25" s="467"/>
      <c r="F25" s="442"/>
      <c r="G25" s="442"/>
      <c r="H25" s="442"/>
      <c r="I25" s="442"/>
      <c r="J25" s="444"/>
      <c r="K25" s="442"/>
      <c r="L25" s="442"/>
      <c r="M25" s="444"/>
      <c r="N25" s="442"/>
      <c r="O25" s="426" t="s">
        <v>277</v>
      </c>
      <c r="P25" s="445">
        <v>0.5</v>
      </c>
      <c r="Q25" s="426" t="s">
        <v>277</v>
      </c>
      <c r="R25" s="445">
        <v>0.5</v>
      </c>
      <c r="S25" s="442"/>
      <c r="T25" s="449"/>
      <c r="U25" s="442"/>
      <c r="V25" s="449"/>
      <c r="W25" s="442"/>
      <c r="X25" s="446"/>
      <c r="Y25" s="446"/>
      <c r="Z25" s="446"/>
      <c r="AA25" s="447"/>
      <c r="AB25" s="447"/>
      <c r="AC25" s="429" t="s">
        <v>277</v>
      </c>
      <c r="AD25" s="461">
        <v>0.5</v>
      </c>
      <c r="AE25" s="447"/>
      <c r="AF25" s="448"/>
      <c r="AG25" s="429" t="s">
        <v>277</v>
      </c>
      <c r="AH25" s="461">
        <v>0.5</v>
      </c>
      <c r="AI25" s="448"/>
      <c r="AJ25" s="473"/>
    </row>
    <row r="26" spans="1:36" ht="15.75">
      <c r="A26" s="437">
        <v>23</v>
      </c>
      <c r="B26" s="438" t="s">
        <v>213</v>
      </c>
      <c r="C26" s="344"/>
      <c r="D26" s="442"/>
      <c r="E26" s="426"/>
      <c r="F26" s="442"/>
      <c r="G26" s="442"/>
      <c r="H26" s="442"/>
      <c r="I26" s="442"/>
      <c r="J26" s="444"/>
      <c r="K26" s="442"/>
      <c r="L26" s="449"/>
      <c r="M26" s="444"/>
      <c r="N26" s="442"/>
      <c r="O26" s="426" t="s">
        <v>277</v>
      </c>
      <c r="P26" s="445">
        <v>0.5</v>
      </c>
      <c r="Q26" s="426" t="s">
        <v>277</v>
      </c>
      <c r="R26" s="445">
        <v>0.5</v>
      </c>
      <c r="S26" s="442"/>
      <c r="T26" s="449"/>
      <c r="U26" s="442"/>
      <c r="V26" s="449"/>
      <c r="W26" s="442"/>
      <c r="X26" s="446"/>
      <c r="Y26" s="446"/>
      <c r="Z26" s="446"/>
      <c r="AA26" s="447"/>
      <c r="AB26" s="447"/>
      <c r="AC26" s="429" t="s">
        <v>277</v>
      </c>
      <c r="AD26" s="461">
        <v>0.5</v>
      </c>
      <c r="AE26" s="447"/>
      <c r="AF26" s="448"/>
      <c r="AG26" s="429" t="s">
        <v>277</v>
      </c>
      <c r="AH26" s="461">
        <v>0.5</v>
      </c>
      <c r="AI26" s="448"/>
      <c r="AJ26" s="447"/>
    </row>
    <row r="27" spans="1:36" ht="15.75">
      <c r="A27" s="437">
        <v>24</v>
      </c>
      <c r="B27" s="438" t="s">
        <v>39</v>
      </c>
      <c r="C27" s="344"/>
      <c r="D27" s="442"/>
      <c r="E27" s="426"/>
      <c r="F27" s="442"/>
      <c r="G27" s="442"/>
      <c r="H27" s="442"/>
      <c r="I27" s="442"/>
      <c r="J27" s="444"/>
      <c r="K27" s="442"/>
      <c r="L27" s="449"/>
      <c r="M27" s="444"/>
      <c r="N27" s="442"/>
      <c r="O27" s="426" t="s">
        <v>277</v>
      </c>
      <c r="P27" s="445">
        <v>0.5</v>
      </c>
      <c r="Q27" s="426" t="s">
        <v>277</v>
      </c>
      <c r="R27" s="445">
        <v>0.5</v>
      </c>
      <c r="S27" s="442"/>
      <c r="T27" s="449"/>
      <c r="U27" s="442"/>
      <c r="V27" s="449"/>
      <c r="W27" s="442"/>
      <c r="X27" s="446"/>
      <c r="Y27" s="446"/>
      <c r="Z27" s="446"/>
      <c r="AA27" s="447"/>
      <c r="AB27" s="456"/>
      <c r="AC27" s="429" t="s">
        <v>277</v>
      </c>
      <c r="AD27" s="461">
        <v>0.5</v>
      </c>
      <c r="AE27" s="456"/>
      <c r="AF27" s="448"/>
      <c r="AG27" s="429" t="s">
        <v>277</v>
      </c>
      <c r="AH27" s="461">
        <v>0.5</v>
      </c>
      <c r="AI27" s="448"/>
      <c r="AJ27" s="473"/>
    </row>
    <row r="28" spans="1:36" ht="15.75">
      <c r="A28" s="437">
        <v>25</v>
      </c>
      <c r="B28" s="438" t="s">
        <v>214</v>
      </c>
      <c r="C28" s="344"/>
      <c r="D28" s="442"/>
      <c r="E28" s="426"/>
      <c r="F28" s="442"/>
      <c r="G28" s="426"/>
      <c r="H28" s="442"/>
      <c r="I28" s="449"/>
      <c r="J28" s="444"/>
      <c r="K28" s="442"/>
      <c r="L28" s="449"/>
      <c r="M28" s="444"/>
      <c r="N28" s="442"/>
      <c r="O28" s="426" t="s">
        <v>277</v>
      </c>
      <c r="P28" s="445">
        <v>0.5</v>
      </c>
      <c r="Q28" s="426" t="s">
        <v>277</v>
      </c>
      <c r="R28" s="445">
        <v>0.5</v>
      </c>
      <c r="S28" s="442"/>
      <c r="T28" s="449"/>
      <c r="U28" s="442"/>
      <c r="V28" s="449"/>
      <c r="W28" s="442"/>
      <c r="X28" s="446"/>
      <c r="Y28" s="446"/>
      <c r="Z28" s="446"/>
      <c r="AA28" s="447"/>
      <c r="AB28" s="456"/>
      <c r="AC28" s="429" t="s">
        <v>277</v>
      </c>
      <c r="AD28" s="461">
        <v>0.5</v>
      </c>
      <c r="AE28" s="447"/>
      <c r="AF28" s="448"/>
      <c r="AG28" s="429" t="s">
        <v>277</v>
      </c>
      <c r="AH28" s="461">
        <v>0.5</v>
      </c>
      <c r="AI28" s="448"/>
      <c r="AJ28" s="447"/>
    </row>
    <row r="29" spans="1:36" ht="15.75">
      <c r="A29" s="437">
        <v>26</v>
      </c>
      <c r="B29" s="438" t="s">
        <v>41</v>
      </c>
      <c r="C29" s="344"/>
      <c r="D29" s="442"/>
      <c r="E29" s="426"/>
      <c r="F29" s="442"/>
      <c r="G29" s="426"/>
      <c r="H29" s="442"/>
      <c r="I29" s="442"/>
      <c r="J29" s="444"/>
      <c r="K29" s="442"/>
      <c r="L29" s="449"/>
      <c r="M29" s="444"/>
      <c r="N29" s="442"/>
      <c r="O29" s="426" t="s">
        <v>277</v>
      </c>
      <c r="P29" s="445">
        <v>0.5</v>
      </c>
      <c r="Q29" s="426" t="s">
        <v>277</v>
      </c>
      <c r="R29" s="445">
        <v>0.5</v>
      </c>
      <c r="S29" s="442"/>
      <c r="T29" s="449"/>
      <c r="U29" s="442"/>
      <c r="V29" s="449"/>
      <c r="W29" s="442"/>
      <c r="X29" s="446"/>
      <c r="Y29" s="446"/>
      <c r="Z29" s="446"/>
      <c r="AA29" s="447"/>
      <c r="AB29" s="447"/>
      <c r="AC29" s="429" t="s">
        <v>277</v>
      </c>
      <c r="AD29" s="461">
        <v>0.5</v>
      </c>
      <c r="AE29" s="447"/>
      <c r="AF29" s="448"/>
      <c r="AG29" s="429" t="s">
        <v>277</v>
      </c>
      <c r="AH29" s="461">
        <v>0.5</v>
      </c>
      <c r="AI29" s="448"/>
      <c r="AJ29" s="447"/>
    </row>
    <row r="30" spans="1:36" ht="15.75">
      <c r="A30" s="437">
        <v>27</v>
      </c>
      <c r="B30" s="438" t="s">
        <v>42</v>
      </c>
      <c r="C30" s="344"/>
      <c r="D30" s="442"/>
      <c r="E30" s="426"/>
      <c r="F30" s="442"/>
      <c r="G30" s="442"/>
      <c r="H30" s="442"/>
      <c r="I30" s="442"/>
      <c r="J30" s="444"/>
      <c r="K30" s="442"/>
      <c r="L30" s="449"/>
      <c r="M30" s="444"/>
      <c r="N30" s="442"/>
      <c r="O30" s="426" t="s">
        <v>277</v>
      </c>
      <c r="P30" s="445">
        <v>0.5</v>
      </c>
      <c r="Q30" s="426" t="s">
        <v>277</v>
      </c>
      <c r="R30" s="445">
        <v>0.5</v>
      </c>
      <c r="S30" s="442"/>
      <c r="T30" s="449"/>
      <c r="U30" s="442"/>
      <c r="V30" s="449"/>
      <c r="W30" s="442"/>
      <c r="X30" s="446"/>
      <c r="Y30" s="446"/>
      <c r="Z30" s="446"/>
      <c r="AA30" s="447"/>
      <c r="AB30" s="456"/>
      <c r="AC30" s="429" t="s">
        <v>277</v>
      </c>
      <c r="AD30" s="461">
        <v>0.5</v>
      </c>
      <c r="AE30" s="447"/>
      <c r="AF30" s="448"/>
      <c r="AG30" s="429" t="s">
        <v>277</v>
      </c>
      <c r="AH30" s="461">
        <v>0.5</v>
      </c>
      <c r="AI30" s="448"/>
      <c r="AJ30" s="447"/>
    </row>
    <row r="31" spans="1:36" ht="15.75">
      <c r="A31" s="437">
        <v>28</v>
      </c>
      <c r="B31" s="438" t="s">
        <v>43</v>
      </c>
      <c r="C31" s="344"/>
      <c r="D31" s="442"/>
      <c r="E31" s="426"/>
      <c r="F31" s="442"/>
      <c r="G31" s="442"/>
      <c r="H31" s="442"/>
      <c r="I31" s="442"/>
      <c r="J31" s="444"/>
      <c r="K31" s="442"/>
      <c r="L31" s="449"/>
      <c r="M31" s="444"/>
      <c r="N31" s="442"/>
      <c r="O31" s="426" t="s">
        <v>277</v>
      </c>
      <c r="P31" s="445">
        <v>0.5</v>
      </c>
      <c r="Q31" s="426" t="s">
        <v>277</v>
      </c>
      <c r="R31" s="445">
        <v>0.5</v>
      </c>
      <c r="S31" s="442"/>
      <c r="T31" s="449"/>
      <c r="U31" s="442"/>
      <c r="V31" s="449"/>
      <c r="W31" s="442"/>
      <c r="X31" s="446"/>
      <c r="Y31" s="446"/>
      <c r="Z31" s="455"/>
      <c r="AA31" s="447"/>
      <c r="AB31" s="447"/>
      <c r="AC31" s="429" t="s">
        <v>277</v>
      </c>
      <c r="AD31" s="461">
        <v>0.5</v>
      </c>
      <c r="AE31" s="447"/>
      <c r="AF31" s="448"/>
      <c r="AG31" s="429" t="s">
        <v>277</v>
      </c>
      <c r="AH31" s="461">
        <v>0.5</v>
      </c>
      <c r="AI31" s="448"/>
      <c r="AJ31" s="447"/>
    </row>
    <row r="32" spans="1:36" ht="15.75">
      <c r="A32" s="437">
        <v>29</v>
      </c>
      <c r="B32" s="438" t="s">
        <v>44</v>
      </c>
      <c r="C32" s="344"/>
      <c r="D32" s="442"/>
      <c r="E32" s="426"/>
      <c r="F32" s="442"/>
      <c r="G32" s="442"/>
      <c r="H32" s="474"/>
      <c r="I32" s="475"/>
      <c r="J32" s="444"/>
      <c r="K32" s="474"/>
      <c r="L32" s="475"/>
      <c r="M32" s="444"/>
      <c r="N32" s="474"/>
      <c r="O32" s="474" t="s">
        <v>277</v>
      </c>
      <c r="P32" s="445">
        <v>0.5</v>
      </c>
      <c r="Q32" s="474" t="s">
        <v>277</v>
      </c>
      <c r="R32" s="445">
        <v>0.5</v>
      </c>
      <c r="S32" s="474"/>
      <c r="T32" s="475"/>
      <c r="U32" s="474"/>
      <c r="V32" s="475"/>
      <c r="W32" s="474"/>
      <c r="X32" s="476"/>
      <c r="Y32" s="476"/>
      <c r="Z32" s="476"/>
      <c r="AA32" s="477"/>
      <c r="AB32" s="478"/>
      <c r="AC32" s="477" t="s">
        <v>277</v>
      </c>
      <c r="AD32" s="461">
        <v>0.5</v>
      </c>
      <c r="AE32" s="447"/>
      <c r="AF32" s="448"/>
      <c r="AG32" s="477" t="s">
        <v>277</v>
      </c>
      <c r="AH32" s="461">
        <v>0.5</v>
      </c>
      <c r="AI32" s="448"/>
      <c r="AJ32" s="477"/>
    </row>
    <row r="33" spans="1:36" ht="15.75">
      <c r="A33" s="437">
        <v>30</v>
      </c>
      <c r="B33" s="438" t="s">
        <v>45</v>
      </c>
      <c r="C33" s="344"/>
      <c r="D33" s="442"/>
      <c r="E33" s="426"/>
      <c r="F33" s="442"/>
      <c r="G33" s="442"/>
      <c r="H33" s="474"/>
      <c r="I33" s="475"/>
      <c r="J33" s="444"/>
      <c r="K33" s="474"/>
      <c r="L33" s="475"/>
      <c r="M33" s="444"/>
      <c r="N33" s="474"/>
      <c r="O33" s="474" t="s">
        <v>277</v>
      </c>
      <c r="P33" s="445">
        <v>0.5</v>
      </c>
      <c r="Q33" s="474" t="s">
        <v>277</v>
      </c>
      <c r="R33" s="445">
        <v>0.5</v>
      </c>
      <c r="S33" s="474"/>
      <c r="T33" s="475"/>
      <c r="U33" s="474"/>
      <c r="V33" s="475"/>
      <c r="W33" s="474"/>
      <c r="X33" s="476"/>
      <c r="Y33" s="476"/>
      <c r="Z33" s="476"/>
      <c r="AA33" s="477"/>
      <c r="AB33" s="478"/>
      <c r="AC33" s="477" t="s">
        <v>277</v>
      </c>
      <c r="AD33" s="461">
        <v>0.5</v>
      </c>
      <c r="AE33" s="447"/>
      <c r="AF33" s="448"/>
      <c r="AG33" s="477" t="s">
        <v>277</v>
      </c>
      <c r="AH33" s="461">
        <v>0.5</v>
      </c>
      <c r="AI33" s="448"/>
      <c r="AJ33" s="477"/>
    </row>
    <row r="34" spans="1:36" ht="15.75">
      <c r="A34" s="437">
        <v>31</v>
      </c>
      <c r="B34" s="438" t="s">
        <v>46</v>
      </c>
      <c r="C34" s="344"/>
      <c r="D34" s="442"/>
      <c r="E34" s="426"/>
      <c r="F34" s="442"/>
      <c r="G34" s="442"/>
      <c r="H34" s="442"/>
      <c r="I34" s="479"/>
      <c r="J34" s="444"/>
      <c r="K34" s="442"/>
      <c r="L34" s="479"/>
      <c r="M34" s="444"/>
      <c r="N34" s="442"/>
      <c r="O34" s="442" t="s">
        <v>277</v>
      </c>
      <c r="P34" s="445">
        <v>0.5</v>
      </c>
      <c r="Q34" s="442" t="s">
        <v>277</v>
      </c>
      <c r="R34" s="445">
        <v>0.5</v>
      </c>
      <c r="S34" s="442"/>
      <c r="T34" s="479"/>
      <c r="U34" s="442"/>
      <c r="V34" s="479"/>
      <c r="W34" s="442"/>
      <c r="X34" s="446"/>
      <c r="Y34" s="446"/>
      <c r="Z34" s="446"/>
      <c r="AA34" s="447"/>
      <c r="AB34" s="480"/>
      <c r="AC34" s="447" t="s">
        <v>277</v>
      </c>
      <c r="AD34" s="461">
        <v>0.5</v>
      </c>
      <c r="AE34" s="447"/>
      <c r="AF34" s="448"/>
      <c r="AG34" s="447" t="s">
        <v>277</v>
      </c>
      <c r="AH34" s="461">
        <v>0.5</v>
      </c>
      <c r="AI34" s="448"/>
      <c r="AJ34" s="447"/>
    </row>
    <row r="35" spans="1:36" ht="15.75">
      <c r="A35" s="437">
        <v>32</v>
      </c>
      <c r="B35" s="438" t="s">
        <v>47</v>
      </c>
      <c r="C35" s="344"/>
      <c r="D35" s="442"/>
      <c r="E35" s="426"/>
      <c r="F35" s="442"/>
      <c r="G35" s="442"/>
      <c r="H35" s="442"/>
      <c r="I35" s="479"/>
      <c r="J35" s="444"/>
      <c r="K35" s="442"/>
      <c r="L35" s="479"/>
      <c r="M35" s="444"/>
      <c r="N35" s="442"/>
      <c r="O35" s="442" t="s">
        <v>277</v>
      </c>
      <c r="P35" s="445">
        <v>0.5</v>
      </c>
      <c r="Q35" s="442" t="s">
        <v>277</v>
      </c>
      <c r="R35" s="445">
        <v>0.5</v>
      </c>
      <c r="S35" s="442"/>
      <c r="T35" s="479"/>
      <c r="U35" s="442"/>
      <c r="V35" s="479"/>
      <c r="W35" s="442"/>
      <c r="X35" s="446"/>
      <c r="Y35" s="446"/>
      <c r="Z35" s="446"/>
      <c r="AA35" s="447"/>
      <c r="AB35" s="480"/>
      <c r="AC35" s="447" t="s">
        <v>277</v>
      </c>
      <c r="AD35" s="461">
        <v>0.5</v>
      </c>
      <c r="AE35" s="447"/>
      <c r="AF35" s="448"/>
      <c r="AG35" s="447" t="s">
        <v>277</v>
      </c>
      <c r="AH35" s="461">
        <v>0.5</v>
      </c>
      <c r="AI35" s="448"/>
      <c r="AJ35" s="447"/>
    </row>
    <row r="36" spans="1:36" ht="15.75">
      <c r="A36" s="437">
        <v>33</v>
      </c>
      <c r="B36" s="438" t="s">
        <v>48</v>
      </c>
      <c r="C36" s="73"/>
      <c r="D36" s="442"/>
      <c r="E36" s="426"/>
      <c r="F36" s="442"/>
      <c r="G36" s="442"/>
      <c r="H36" s="442"/>
      <c r="I36" s="442"/>
      <c r="J36" s="444"/>
      <c r="K36" s="442"/>
      <c r="L36" s="479"/>
      <c r="M36" s="444"/>
      <c r="N36" s="442"/>
      <c r="O36" s="442" t="s">
        <v>277</v>
      </c>
      <c r="P36" s="445">
        <v>0.5</v>
      </c>
      <c r="Q36" s="442" t="s">
        <v>277</v>
      </c>
      <c r="R36" s="445">
        <v>0.5</v>
      </c>
      <c r="S36" s="442"/>
      <c r="T36" s="479"/>
      <c r="U36" s="442"/>
      <c r="V36" s="479"/>
      <c r="W36" s="442"/>
      <c r="X36" s="446"/>
      <c r="Y36" s="446"/>
      <c r="Z36" s="446"/>
      <c r="AA36" s="447"/>
      <c r="AB36" s="447"/>
      <c r="AC36" s="447" t="s">
        <v>277</v>
      </c>
      <c r="AD36" s="461">
        <v>0.5</v>
      </c>
      <c r="AE36" s="447"/>
      <c r="AF36" s="448"/>
      <c r="AG36" s="447" t="s">
        <v>277</v>
      </c>
      <c r="AH36" s="461">
        <v>0.5</v>
      </c>
      <c r="AI36" s="448"/>
      <c r="AJ36" s="447"/>
    </row>
    <row r="37" spans="1:36" ht="15.75">
      <c r="A37" s="437">
        <v>34</v>
      </c>
      <c r="B37" s="438" t="s">
        <v>49</v>
      </c>
      <c r="C37" s="73"/>
      <c r="D37" s="442"/>
      <c r="E37" s="426"/>
      <c r="F37" s="442"/>
      <c r="G37" s="442"/>
      <c r="H37" s="442"/>
      <c r="I37" s="442"/>
      <c r="J37" s="444"/>
      <c r="K37" s="442"/>
      <c r="L37" s="479"/>
      <c r="M37" s="444"/>
      <c r="N37" s="442"/>
      <c r="O37" s="442" t="s">
        <v>277</v>
      </c>
      <c r="P37" s="445">
        <v>0.5</v>
      </c>
      <c r="Q37" s="442" t="s">
        <v>277</v>
      </c>
      <c r="R37" s="445">
        <v>0.5</v>
      </c>
      <c r="S37" s="442"/>
      <c r="T37" s="479"/>
      <c r="U37" s="442"/>
      <c r="V37" s="479"/>
      <c r="W37" s="442"/>
      <c r="X37" s="446"/>
      <c r="Y37" s="446"/>
      <c r="Z37" s="446"/>
      <c r="AA37" s="447"/>
      <c r="AB37" s="447"/>
      <c r="AC37" s="447" t="s">
        <v>277</v>
      </c>
      <c r="AD37" s="461">
        <v>0.5</v>
      </c>
      <c r="AE37" s="447"/>
      <c r="AF37" s="448"/>
      <c r="AG37" s="447" t="s">
        <v>277</v>
      </c>
      <c r="AH37" s="461">
        <v>0.5</v>
      </c>
      <c r="AI37" s="448"/>
      <c r="AJ37" s="447"/>
    </row>
    <row r="38" spans="1:36" ht="15">
      <c r="A38" s="437">
        <v>35</v>
      </c>
      <c r="B38" s="438" t="s">
        <v>50</v>
      </c>
      <c r="C38" s="344"/>
      <c r="D38" s="442"/>
      <c r="E38" s="427"/>
      <c r="F38" s="442"/>
      <c r="G38" s="444"/>
      <c r="H38" s="442"/>
      <c r="I38" s="444"/>
      <c r="J38" s="444"/>
      <c r="K38" s="442"/>
      <c r="L38" s="444"/>
      <c r="M38" s="444"/>
      <c r="N38" s="442"/>
      <c r="O38" s="444" t="s">
        <v>277</v>
      </c>
      <c r="P38" s="445">
        <v>0.5</v>
      </c>
      <c r="Q38" s="444" t="s">
        <v>277</v>
      </c>
      <c r="R38" s="445">
        <v>0.5</v>
      </c>
      <c r="S38" s="442"/>
      <c r="T38" s="444"/>
      <c r="U38" s="442"/>
      <c r="V38" s="444"/>
      <c r="W38" s="442"/>
      <c r="X38" s="446"/>
      <c r="Y38" s="446"/>
      <c r="Z38" s="481"/>
      <c r="AA38" s="447"/>
      <c r="AB38" s="448"/>
      <c r="AC38" s="448" t="s">
        <v>277</v>
      </c>
      <c r="AD38" s="461">
        <v>0.5</v>
      </c>
      <c r="AE38" s="448"/>
      <c r="AF38" s="448"/>
      <c r="AG38" s="448" t="s">
        <v>277</v>
      </c>
      <c r="AH38" s="461">
        <v>0.5</v>
      </c>
      <c r="AI38" s="448"/>
      <c r="AJ38" s="447"/>
    </row>
    <row r="39" spans="1:36" ht="15">
      <c r="A39" s="437">
        <v>36</v>
      </c>
      <c r="B39" s="438" t="s">
        <v>51</v>
      </c>
      <c r="C39" s="73"/>
      <c r="D39" s="442"/>
      <c r="E39" s="426"/>
      <c r="F39" s="442"/>
      <c r="G39" s="442"/>
      <c r="H39" s="442"/>
      <c r="I39" s="442"/>
      <c r="J39" s="442"/>
      <c r="K39" s="442"/>
      <c r="L39" s="442"/>
      <c r="M39" s="442"/>
      <c r="N39" s="442"/>
      <c r="O39" s="442" t="s">
        <v>277</v>
      </c>
      <c r="P39" s="445">
        <v>1</v>
      </c>
      <c r="Q39" s="442" t="s">
        <v>277</v>
      </c>
      <c r="R39" s="445">
        <v>1</v>
      </c>
      <c r="S39" s="442"/>
      <c r="T39" s="442"/>
      <c r="U39" s="442"/>
      <c r="V39" s="442"/>
      <c r="W39" s="442"/>
      <c r="X39" s="446"/>
      <c r="Y39" s="446"/>
      <c r="Z39" s="446"/>
      <c r="AA39" s="447"/>
      <c r="AB39" s="447"/>
      <c r="AC39" s="447" t="s">
        <v>277</v>
      </c>
      <c r="AD39" s="461">
        <v>0.5</v>
      </c>
      <c r="AE39" s="447"/>
      <c r="AF39" s="447"/>
      <c r="AG39" s="447" t="s">
        <v>277</v>
      </c>
      <c r="AH39" s="461">
        <v>1</v>
      </c>
      <c r="AI39" s="447"/>
      <c r="AJ39" s="447"/>
    </row>
    <row r="40" spans="1:36" ht="15">
      <c r="A40" s="437">
        <v>37</v>
      </c>
      <c r="B40" s="438" t="s">
        <v>52</v>
      </c>
      <c r="C40" s="344"/>
      <c r="D40" s="442"/>
      <c r="E40" s="427"/>
      <c r="F40" s="442"/>
      <c r="G40" s="444"/>
      <c r="H40" s="442"/>
      <c r="I40" s="444"/>
      <c r="J40" s="444"/>
      <c r="K40" s="442"/>
      <c r="L40" s="444"/>
      <c r="M40" s="444"/>
      <c r="N40" s="442"/>
      <c r="O40" s="444" t="s">
        <v>277</v>
      </c>
      <c r="P40" s="445">
        <v>0.5</v>
      </c>
      <c r="Q40" s="444" t="s">
        <v>277</v>
      </c>
      <c r="R40" s="445">
        <v>0.5</v>
      </c>
      <c r="S40" s="442"/>
      <c r="T40" s="444"/>
      <c r="U40" s="442"/>
      <c r="V40" s="444"/>
      <c r="W40" s="442"/>
      <c r="X40" s="446"/>
      <c r="Y40" s="446"/>
      <c r="Z40" s="481"/>
      <c r="AA40" s="447"/>
      <c r="AB40" s="448"/>
      <c r="AC40" s="448" t="s">
        <v>277</v>
      </c>
      <c r="AD40" s="461">
        <v>0.5</v>
      </c>
      <c r="AE40" s="448"/>
      <c r="AF40" s="448"/>
      <c r="AG40" s="448" t="s">
        <v>277</v>
      </c>
      <c r="AH40" s="461">
        <v>0.5</v>
      </c>
      <c r="AI40" s="448"/>
      <c r="AJ40" s="447"/>
    </row>
    <row r="41" spans="1:36" ht="15">
      <c r="A41" s="437">
        <v>38</v>
      </c>
      <c r="B41" s="438" t="s">
        <v>53</v>
      </c>
      <c r="C41" s="344"/>
      <c r="D41" s="442"/>
      <c r="E41" s="427"/>
      <c r="F41" s="442"/>
      <c r="G41" s="444"/>
      <c r="H41" s="442"/>
      <c r="I41" s="444"/>
      <c r="J41" s="444"/>
      <c r="K41" s="442"/>
      <c r="L41" s="444"/>
      <c r="M41" s="444"/>
      <c r="N41" s="442"/>
      <c r="O41" s="444" t="s">
        <v>277</v>
      </c>
      <c r="P41" s="445">
        <v>0.5</v>
      </c>
      <c r="Q41" s="444" t="s">
        <v>277</v>
      </c>
      <c r="R41" s="445">
        <v>0.5</v>
      </c>
      <c r="S41" s="442"/>
      <c r="T41" s="444"/>
      <c r="U41" s="442"/>
      <c r="V41" s="444"/>
      <c r="W41" s="442"/>
      <c r="X41" s="446"/>
      <c r="Y41" s="446"/>
      <c r="Z41" s="481"/>
      <c r="AA41" s="447"/>
      <c r="AB41" s="448"/>
      <c r="AC41" s="448" t="s">
        <v>277</v>
      </c>
      <c r="AD41" s="461">
        <v>0.5</v>
      </c>
      <c r="AE41" s="448"/>
      <c r="AF41" s="448"/>
      <c r="AG41" s="448" t="s">
        <v>277</v>
      </c>
      <c r="AH41" s="461">
        <v>0.5</v>
      </c>
      <c r="AI41" s="448"/>
      <c r="AJ41" s="447"/>
    </row>
    <row r="42" spans="1:36" ht="15">
      <c r="A42" s="437">
        <v>39</v>
      </c>
      <c r="B42" s="438" t="s">
        <v>54</v>
      </c>
      <c r="C42" s="344"/>
      <c r="D42" s="442"/>
      <c r="E42" s="427"/>
      <c r="F42" s="442"/>
      <c r="G42" s="444"/>
      <c r="H42" s="442"/>
      <c r="I42" s="444"/>
      <c r="J42" s="444"/>
      <c r="K42" s="442"/>
      <c r="L42" s="444"/>
      <c r="M42" s="444"/>
      <c r="N42" s="442"/>
      <c r="O42" s="444" t="s">
        <v>277</v>
      </c>
      <c r="P42" s="445">
        <v>0.5</v>
      </c>
      <c r="Q42" s="444" t="s">
        <v>277</v>
      </c>
      <c r="R42" s="445">
        <v>0.5</v>
      </c>
      <c r="S42" s="442"/>
      <c r="T42" s="444"/>
      <c r="U42" s="442"/>
      <c r="V42" s="444"/>
      <c r="W42" s="442"/>
      <c r="X42" s="446"/>
      <c r="Y42" s="446"/>
      <c r="Z42" s="481"/>
      <c r="AA42" s="447"/>
      <c r="AB42" s="448"/>
      <c r="AC42" s="448" t="s">
        <v>277</v>
      </c>
      <c r="AD42" s="461">
        <v>0.5</v>
      </c>
      <c r="AE42" s="448"/>
      <c r="AF42" s="448"/>
      <c r="AG42" s="448" t="s">
        <v>277</v>
      </c>
      <c r="AH42" s="461">
        <v>0.5</v>
      </c>
      <c r="AI42" s="448"/>
      <c r="AJ42" s="447"/>
    </row>
    <row r="43" spans="1:36" ht="15">
      <c r="A43" s="437">
        <v>40</v>
      </c>
      <c r="B43" s="438" t="s">
        <v>55</v>
      </c>
      <c r="C43" s="344"/>
      <c r="D43" s="442"/>
      <c r="E43" s="427"/>
      <c r="F43" s="442"/>
      <c r="G43" s="444"/>
      <c r="H43" s="442"/>
      <c r="I43" s="444"/>
      <c r="J43" s="444"/>
      <c r="K43" s="442"/>
      <c r="L43" s="444"/>
      <c r="M43" s="444"/>
      <c r="N43" s="442"/>
      <c r="O43" s="444" t="s">
        <v>277</v>
      </c>
      <c r="P43" s="445">
        <v>0.5</v>
      </c>
      <c r="Q43" s="444" t="s">
        <v>277</v>
      </c>
      <c r="R43" s="445">
        <v>0.5</v>
      </c>
      <c r="S43" s="442"/>
      <c r="T43" s="444"/>
      <c r="U43" s="442"/>
      <c r="V43" s="444"/>
      <c r="W43" s="442"/>
      <c r="X43" s="446"/>
      <c r="Y43" s="446"/>
      <c r="Z43" s="481"/>
      <c r="AA43" s="447"/>
      <c r="AB43" s="448"/>
      <c r="AC43" s="448" t="s">
        <v>277</v>
      </c>
      <c r="AD43" s="461">
        <v>0.5</v>
      </c>
      <c r="AE43" s="448"/>
      <c r="AF43" s="448"/>
      <c r="AG43" s="448" t="s">
        <v>277</v>
      </c>
      <c r="AH43" s="461">
        <v>0.5</v>
      </c>
      <c r="AI43" s="448"/>
      <c r="AJ43" s="447"/>
    </row>
    <row r="44" spans="1:36" ht="15">
      <c r="A44" s="437">
        <v>41</v>
      </c>
      <c r="B44" s="438" t="s">
        <v>56</v>
      </c>
      <c r="C44" s="73"/>
      <c r="D44" s="442"/>
      <c r="E44" s="426"/>
      <c r="F44" s="442"/>
      <c r="G44" s="442"/>
      <c r="H44" s="442"/>
      <c r="I44" s="442"/>
      <c r="J44" s="442"/>
      <c r="K44" s="442"/>
      <c r="L44" s="442"/>
      <c r="M44" s="442"/>
      <c r="N44" s="442"/>
      <c r="O44" s="444" t="s">
        <v>277</v>
      </c>
      <c r="P44" s="445">
        <v>0.5</v>
      </c>
      <c r="Q44" s="444" t="s">
        <v>277</v>
      </c>
      <c r="R44" s="445">
        <v>0.5</v>
      </c>
      <c r="S44" s="442"/>
      <c r="T44" s="442"/>
      <c r="U44" s="442"/>
      <c r="V44" s="442"/>
      <c r="W44" s="442"/>
      <c r="X44" s="446"/>
      <c r="Y44" s="446"/>
      <c r="Z44" s="446"/>
      <c r="AA44" s="447"/>
      <c r="AB44" s="447"/>
      <c r="AC44" s="448" t="s">
        <v>277</v>
      </c>
      <c r="AD44" s="461">
        <v>0.5</v>
      </c>
      <c r="AE44" s="447"/>
      <c r="AF44" s="447"/>
      <c r="AG44" s="448" t="s">
        <v>277</v>
      </c>
      <c r="AH44" s="461">
        <v>0.5</v>
      </c>
      <c r="AI44" s="447"/>
      <c r="AJ44" s="447"/>
    </row>
    <row r="45" spans="1:36" ht="15">
      <c r="A45" s="437">
        <v>42</v>
      </c>
      <c r="B45" s="438" t="s">
        <v>57</v>
      </c>
      <c r="C45" s="73"/>
      <c r="D45" s="442"/>
      <c r="E45" s="426"/>
      <c r="F45" s="442"/>
      <c r="G45" s="442"/>
      <c r="H45" s="442"/>
      <c r="I45" s="442"/>
      <c r="J45" s="442"/>
      <c r="K45" s="442"/>
      <c r="L45" s="442"/>
      <c r="M45" s="442"/>
      <c r="N45" s="442"/>
      <c r="O45" s="444" t="s">
        <v>277</v>
      </c>
      <c r="P45" s="445">
        <v>0.5</v>
      </c>
      <c r="Q45" s="444" t="s">
        <v>277</v>
      </c>
      <c r="R45" s="445">
        <v>0.5</v>
      </c>
      <c r="S45" s="442"/>
      <c r="T45" s="442"/>
      <c r="U45" s="442"/>
      <c r="V45" s="442"/>
      <c r="W45" s="442"/>
      <c r="X45" s="446"/>
      <c r="Y45" s="446"/>
      <c r="Z45" s="446"/>
      <c r="AA45" s="447"/>
      <c r="AB45" s="447"/>
      <c r="AC45" s="448" t="s">
        <v>277</v>
      </c>
      <c r="AD45" s="461">
        <v>0.5</v>
      </c>
      <c r="AE45" s="447"/>
      <c r="AF45" s="447"/>
      <c r="AG45" s="448" t="s">
        <v>277</v>
      </c>
      <c r="AH45" s="461">
        <v>0.5</v>
      </c>
      <c r="AI45" s="447"/>
      <c r="AJ45" s="447"/>
    </row>
    <row r="46" spans="1:36" ht="15">
      <c r="A46" s="437">
        <v>43</v>
      </c>
      <c r="B46" s="438" t="s">
        <v>58</v>
      </c>
      <c r="C46" s="73"/>
      <c r="D46" s="442"/>
      <c r="E46" s="426"/>
      <c r="F46" s="442"/>
      <c r="G46" s="442"/>
      <c r="H46" s="442"/>
      <c r="I46" s="442"/>
      <c r="J46" s="442"/>
      <c r="K46" s="442"/>
      <c r="L46" s="442"/>
      <c r="M46" s="442"/>
      <c r="N46" s="442"/>
      <c r="O46" s="444" t="s">
        <v>277</v>
      </c>
      <c r="P46" s="445">
        <v>0.5</v>
      </c>
      <c r="Q46" s="444" t="s">
        <v>277</v>
      </c>
      <c r="R46" s="445">
        <v>0.5</v>
      </c>
      <c r="S46" s="442"/>
      <c r="T46" s="442"/>
      <c r="U46" s="442"/>
      <c r="V46" s="442"/>
      <c r="W46" s="442"/>
      <c r="X46" s="446"/>
      <c r="Y46" s="446"/>
      <c r="Z46" s="446"/>
      <c r="AA46" s="447"/>
      <c r="AB46" s="447"/>
      <c r="AC46" s="448" t="s">
        <v>277</v>
      </c>
      <c r="AD46" s="461">
        <v>0.5</v>
      </c>
      <c r="AE46" s="447"/>
      <c r="AF46" s="447"/>
      <c r="AG46" s="448" t="s">
        <v>277</v>
      </c>
      <c r="AH46" s="461">
        <v>0.5</v>
      </c>
      <c r="AI46" s="447"/>
      <c r="AJ46" s="447"/>
    </row>
    <row r="47" spans="1:36" ht="15">
      <c r="A47" s="437">
        <v>44</v>
      </c>
      <c r="B47" s="438" t="s">
        <v>59</v>
      </c>
      <c r="C47" s="73"/>
      <c r="D47" s="442"/>
      <c r="E47" s="426"/>
      <c r="F47" s="442"/>
      <c r="G47" s="442"/>
      <c r="H47" s="442"/>
      <c r="I47" s="442"/>
      <c r="J47" s="442"/>
      <c r="K47" s="442"/>
      <c r="L47" s="442"/>
      <c r="M47" s="442"/>
      <c r="N47" s="442"/>
      <c r="O47" s="444" t="s">
        <v>277</v>
      </c>
      <c r="P47" s="445">
        <v>0.5</v>
      </c>
      <c r="Q47" s="444" t="s">
        <v>277</v>
      </c>
      <c r="R47" s="445">
        <v>0.5</v>
      </c>
      <c r="S47" s="442"/>
      <c r="T47" s="442"/>
      <c r="U47" s="442"/>
      <c r="V47" s="442"/>
      <c r="W47" s="442"/>
      <c r="X47" s="446"/>
      <c r="Y47" s="446"/>
      <c r="Z47" s="446"/>
      <c r="AA47" s="447"/>
      <c r="AB47" s="447"/>
      <c r="AC47" s="448" t="s">
        <v>277</v>
      </c>
      <c r="AD47" s="461">
        <v>0.5</v>
      </c>
      <c r="AE47" s="447"/>
      <c r="AF47" s="447"/>
      <c r="AG47" s="448" t="s">
        <v>277</v>
      </c>
      <c r="AH47" s="461">
        <v>0.5</v>
      </c>
      <c r="AI47" s="447"/>
      <c r="AJ47" s="447"/>
    </row>
    <row r="48" spans="1:36" ht="15">
      <c r="A48" s="437">
        <v>45</v>
      </c>
      <c r="B48" s="438" t="s">
        <v>60</v>
      </c>
      <c r="C48" s="73"/>
      <c r="D48" s="442"/>
      <c r="E48" s="426"/>
      <c r="F48" s="442"/>
      <c r="G48" s="442"/>
      <c r="H48" s="442"/>
      <c r="I48" s="442"/>
      <c r="J48" s="442"/>
      <c r="K48" s="442"/>
      <c r="L48" s="442"/>
      <c r="M48" s="442"/>
      <c r="N48" s="442"/>
      <c r="O48" s="426" t="s">
        <v>277</v>
      </c>
      <c r="P48" s="445">
        <v>1</v>
      </c>
      <c r="Q48" s="442"/>
      <c r="R48" s="442"/>
      <c r="S48" s="442"/>
      <c r="T48" s="442"/>
      <c r="U48" s="442"/>
      <c r="V48" s="442"/>
      <c r="W48" s="442"/>
      <c r="X48" s="446"/>
      <c r="Y48" s="446"/>
      <c r="Z48" s="446"/>
      <c r="AA48" s="447"/>
      <c r="AB48" s="447"/>
      <c r="AC48" s="429" t="s">
        <v>277</v>
      </c>
      <c r="AD48" s="461">
        <v>1</v>
      </c>
      <c r="AE48" s="447"/>
      <c r="AF48" s="447"/>
      <c r="AG48" s="429" t="s">
        <v>277</v>
      </c>
      <c r="AH48" s="461">
        <v>1</v>
      </c>
      <c r="AI48" s="447"/>
      <c r="AJ48" s="447"/>
    </row>
    <row r="49" spans="1:36" ht="15">
      <c r="A49" s="437">
        <v>46</v>
      </c>
      <c r="B49" s="438" t="s">
        <v>61</v>
      </c>
      <c r="C49" s="73"/>
      <c r="D49" s="442"/>
      <c r="E49" s="426"/>
      <c r="F49" s="442"/>
      <c r="G49" s="442"/>
      <c r="H49" s="442"/>
      <c r="I49" s="442"/>
      <c r="J49" s="442"/>
      <c r="K49" s="442"/>
      <c r="L49" s="442"/>
      <c r="M49" s="442"/>
      <c r="N49" s="442"/>
      <c r="O49" s="426" t="s">
        <v>277</v>
      </c>
      <c r="P49" s="445">
        <v>1</v>
      </c>
      <c r="Q49" s="442"/>
      <c r="R49" s="442"/>
      <c r="S49" s="442"/>
      <c r="T49" s="442"/>
      <c r="U49" s="442"/>
      <c r="V49" s="442"/>
      <c r="W49" s="442"/>
      <c r="X49" s="446"/>
      <c r="Y49" s="446"/>
      <c r="Z49" s="446"/>
      <c r="AA49" s="447"/>
      <c r="AB49" s="447"/>
      <c r="AC49" s="429" t="s">
        <v>277</v>
      </c>
      <c r="AD49" s="461">
        <v>1</v>
      </c>
      <c r="AE49" s="447"/>
      <c r="AF49" s="447"/>
      <c r="AG49" s="429" t="s">
        <v>277</v>
      </c>
      <c r="AH49" s="461">
        <v>1</v>
      </c>
      <c r="AI49" s="447"/>
      <c r="AJ49" s="447"/>
    </row>
    <row r="50" spans="1:36" ht="15">
      <c r="A50" s="437">
        <v>47</v>
      </c>
      <c r="B50" s="438" t="s">
        <v>62</v>
      </c>
      <c r="C50" s="73"/>
      <c r="D50" s="442"/>
      <c r="E50" s="426"/>
      <c r="F50" s="442"/>
      <c r="G50" s="442"/>
      <c r="H50" s="442"/>
      <c r="I50" s="442"/>
      <c r="J50" s="442"/>
      <c r="K50" s="442"/>
      <c r="L50" s="442"/>
      <c r="M50" s="442"/>
      <c r="N50" s="442"/>
      <c r="O50" s="426" t="s">
        <v>277</v>
      </c>
      <c r="P50" s="445">
        <v>1</v>
      </c>
      <c r="Q50" s="442"/>
      <c r="R50" s="442"/>
      <c r="S50" s="442"/>
      <c r="T50" s="442"/>
      <c r="U50" s="442"/>
      <c r="V50" s="442"/>
      <c r="W50" s="442"/>
      <c r="X50" s="446"/>
      <c r="Y50" s="446"/>
      <c r="Z50" s="446"/>
      <c r="AA50" s="447"/>
      <c r="AB50" s="447"/>
      <c r="AC50" s="429" t="s">
        <v>277</v>
      </c>
      <c r="AD50" s="461">
        <v>1</v>
      </c>
      <c r="AE50" s="447"/>
      <c r="AF50" s="447"/>
      <c r="AG50" s="429" t="s">
        <v>277</v>
      </c>
      <c r="AH50" s="461">
        <v>1</v>
      </c>
      <c r="AI50" s="447"/>
      <c r="AJ50" s="447"/>
    </row>
    <row r="51" spans="1:36" ht="15">
      <c r="A51" s="437">
        <v>48</v>
      </c>
      <c r="B51" s="438" t="s">
        <v>216</v>
      </c>
      <c r="C51" s="73"/>
      <c r="D51" s="442"/>
      <c r="E51" s="426"/>
      <c r="F51" s="442"/>
      <c r="G51" s="442"/>
      <c r="H51" s="442"/>
      <c r="I51" s="442"/>
      <c r="J51" s="442"/>
      <c r="K51" s="442"/>
      <c r="L51" s="442"/>
      <c r="M51" s="442"/>
      <c r="N51" s="442"/>
      <c r="O51" s="426"/>
      <c r="P51" s="445"/>
      <c r="Q51" s="442" t="s">
        <v>277</v>
      </c>
      <c r="R51" s="442">
        <v>1</v>
      </c>
      <c r="S51" s="442"/>
      <c r="T51" s="442"/>
      <c r="U51" s="442"/>
      <c r="V51" s="442"/>
      <c r="W51" s="442"/>
      <c r="X51" s="446"/>
      <c r="Y51" s="446"/>
      <c r="Z51" s="446"/>
      <c r="AA51" s="447"/>
      <c r="AB51" s="447"/>
      <c r="AC51" s="429" t="s">
        <v>277</v>
      </c>
      <c r="AD51" s="461">
        <v>1</v>
      </c>
      <c r="AE51" s="447"/>
      <c r="AF51" s="447"/>
      <c r="AG51" s="429" t="s">
        <v>277</v>
      </c>
      <c r="AH51" s="461">
        <v>1</v>
      </c>
      <c r="AI51" s="447"/>
      <c r="AJ51" s="447"/>
    </row>
    <row r="52" spans="1:36" ht="15">
      <c r="A52" s="437">
        <v>49</v>
      </c>
      <c r="B52" s="438" t="s">
        <v>64</v>
      </c>
      <c r="C52" s="73"/>
      <c r="D52" s="442"/>
      <c r="E52" s="426"/>
      <c r="F52" s="442"/>
      <c r="G52" s="442"/>
      <c r="H52" s="442"/>
      <c r="I52" s="442"/>
      <c r="J52" s="442"/>
      <c r="K52" s="442"/>
      <c r="L52" s="442"/>
      <c r="M52" s="442"/>
      <c r="N52" s="442"/>
      <c r="O52" s="426" t="s">
        <v>277</v>
      </c>
      <c r="P52" s="445">
        <v>2</v>
      </c>
      <c r="Q52" s="442"/>
      <c r="R52" s="442"/>
      <c r="S52" s="442"/>
      <c r="T52" s="442"/>
      <c r="U52" s="442"/>
      <c r="V52" s="442"/>
      <c r="W52" s="442"/>
      <c r="X52" s="446"/>
      <c r="Y52" s="446"/>
      <c r="Z52" s="446"/>
      <c r="AA52" s="447"/>
      <c r="AB52" s="447"/>
      <c r="AC52" s="429" t="s">
        <v>277</v>
      </c>
      <c r="AD52" s="461">
        <v>2</v>
      </c>
      <c r="AE52" s="447"/>
      <c r="AF52" s="447"/>
      <c r="AG52" s="429" t="s">
        <v>277</v>
      </c>
      <c r="AH52" s="461">
        <v>2</v>
      </c>
      <c r="AI52" s="447"/>
      <c r="AJ52" s="447"/>
    </row>
    <row r="53" spans="1:36" ht="15">
      <c r="A53" s="437">
        <v>50</v>
      </c>
      <c r="B53" s="438" t="s">
        <v>65</v>
      </c>
      <c r="C53" s="73"/>
      <c r="D53" s="442"/>
      <c r="E53" s="426"/>
      <c r="F53" s="442"/>
      <c r="G53" s="442"/>
      <c r="H53" s="442"/>
      <c r="I53" s="442"/>
      <c r="J53" s="442"/>
      <c r="K53" s="442"/>
      <c r="L53" s="442"/>
      <c r="M53" s="442"/>
      <c r="N53" s="442"/>
      <c r="O53" s="426" t="s">
        <v>277</v>
      </c>
      <c r="P53" s="445">
        <v>1</v>
      </c>
      <c r="Q53" s="442"/>
      <c r="R53" s="442"/>
      <c r="S53" s="442"/>
      <c r="T53" s="442"/>
      <c r="U53" s="442"/>
      <c r="V53" s="442"/>
      <c r="W53" s="442"/>
      <c r="X53" s="446"/>
      <c r="Y53" s="446"/>
      <c r="Z53" s="446"/>
      <c r="AA53" s="447"/>
      <c r="AB53" s="447"/>
      <c r="AC53" s="429" t="s">
        <v>277</v>
      </c>
      <c r="AD53" s="461">
        <v>1</v>
      </c>
      <c r="AE53" s="447"/>
      <c r="AF53" s="447"/>
      <c r="AG53" s="429" t="s">
        <v>277</v>
      </c>
      <c r="AH53" s="461">
        <v>1</v>
      </c>
      <c r="AI53" s="447"/>
      <c r="AJ53" s="447"/>
    </row>
    <row r="54" spans="1:36" ht="15">
      <c r="A54" s="437">
        <v>51</v>
      </c>
      <c r="B54" s="438" t="s">
        <v>66</v>
      </c>
      <c r="C54" s="73"/>
      <c r="D54" s="442"/>
      <c r="E54" s="426"/>
      <c r="F54" s="442"/>
      <c r="G54" s="442"/>
      <c r="H54" s="442"/>
      <c r="I54" s="442"/>
      <c r="J54" s="442"/>
      <c r="K54" s="442"/>
      <c r="L54" s="442"/>
      <c r="M54" s="442"/>
      <c r="N54" s="442"/>
      <c r="O54" s="426"/>
      <c r="P54" s="445"/>
      <c r="Q54" s="442" t="s">
        <v>277</v>
      </c>
      <c r="R54" s="442">
        <v>2</v>
      </c>
      <c r="S54" s="442"/>
      <c r="T54" s="442"/>
      <c r="U54" s="442"/>
      <c r="V54" s="442"/>
      <c r="W54" s="442"/>
      <c r="X54" s="446"/>
      <c r="Y54" s="446"/>
      <c r="Z54" s="446"/>
      <c r="AA54" s="447"/>
      <c r="AB54" s="447"/>
      <c r="AC54" s="429" t="s">
        <v>277</v>
      </c>
      <c r="AD54" s="461">
        <v>2</v>
      </c>
      <c r="AE54" s="447"/>
      <c r="AF54" s="447"/>
      <c r="AG54" s="429" t="s">
        <v>277</v>
      </c>
      <c r="AH54" s="461">
        <v>2</v>
      </c>
      <c r="AI54" s="447"/>
      <c r="AJ54" s="447"/>
    </row>
    <row r="55" spans="1:36" ht="15">
      <c r="A55" s="437">
        <v>52</v>
      </c>
      <c r="B55" s="438" t="s">
        <v>217</v>
      </c>
      <c r="C55" s="73"/>
      <c r="D55" s="442"/>
      <c r="E55" s="426"/>
      <c r="F55" s="442"/>
      <c r="G55" s="442"/>
      <c r="H55" s="442"/>
      <c r="I55" s="442"/>
      <c r="J55" s="442"/>
      <c r="K55" s="442"/>
      <c r="L55" s="442"/>
      <c r="M55" s="442"/>
      <c r="N55" s="442"/>
      <c r="O55" s="426" t="s">
        <v>277</v>
      </c>
      <c r="P55" s="445">
        <v>0.5</v>
      </c>
      <c r="Q55" s="442"/>
      <c r="R55" s="442"/>
      <c r="S55" s="442"/>
      <c r="T55" s="442"/>
      <c r="U55" s="442"/>
      <c r="V55" s="442"/>
      <c r="W55" s="442"/>
      <c r="X55" s="446"/>
      <c r="Y55" s="446"/>
      <c r="Z55" s="446"/>
      <c r="AA55" s="447"/>
      <c r="AB55" s="447"/>
      <c r="AC55" s="429" t="s">
        <v>277</v>
      </c>
      <c r="AD55" s="461">
        <v>0.5</v>
      </c>
      <c r="AE55" s="447"/>
      <c r="AF55" s="447"/>
      <c r="AG55" s="429" t="s">
        <v>277</v>
      </c>
      <c r="AH55" s="461">
        <v>0.5</v>
      </c>
      <c r="AI55" s="447"/>
      <c r="AJ55" s="447"/>
    </row>
    <row r="56" spans="1:36" ht="15">
      <c r="A56" s="437">
        <v>53</v>
      </c>
      <c r="B56" s="438" t="s">
        <v>68</v>
      </c>
      <c r="C56" s="73"/>
      <c r="D56" s="442"/>
      <c r="E56" s="426"/>
      <c r="F56" s="442"/>
      <c r="G56" s="442"/>
      <c r="H56" s="442"/>
      <c r="I56" s="442"/>
      <c r="J56" s="442"/>
      <c r="K56" s="442"/>
      <c r="L56" s="442"/>
      <c r="M56" s="442"/>
      <c r="N56" s="442"/>
      <c r="O56" s="426"/>
      <c r="P56" s="445"/>
      <c r="Q56" s="442" t="s">
        <v>277</v>
      </c>
      <c r="R56" s="442">
        <v>1</v>
      </c>
      <c r="S56" s="442"/>
      <c r="T56" s="442"/>
      <c r="U56" s="442"/>
      <c r="V56" s="442"/>
      <c r="W56" s="442"/>
      <c r="X56" s="446"/>
      <c r="Y56" s="446"/>
      <c r="Z56" s="446"/>
      <c r="AA56" s="447"/>
      <c r="AB56" s="447"/>
      <c r="AC56" s="429" t="s">
        <v>277</v>
      </c>
      <c r="AD56" s="461">
        <v>1</v>
      </c>
      <c r="AE56" s="447"/>
      <c r="AF56" s="447"/>
      <c r="AG56" s="429" t="s">
        <v>277</v>
      </c>
      <c r="AH56" s="461">
        <v>1</v>
      </c>
      <c r="AI56" s="447"/>
      <c r="AJ56" s="447"/>
    </row>
    <row r="57" spans="1:36" ht="15.75">
      <c r="A57" s="437">
        <v>54</v>
      </c>
      <c r="B57" s="438" t="s">
        <v>347</v>
      </c>
      <c r="C57" s="73" t="s">
        <v>277</v>
      </c>
      <c r="D57" s="442">
        <v>0.02</v>
      </c>
      <c r="E57" s="426"/>
      <c r="F57" s="442"/>
      <c r="G57" s="442" t="s">
        <v>277</v>
      </c>
      <c r="H57" s="442">
        <v>0.02</v>
      </c>
      <c r="I57" s="442"/>
      <c r="J57" s="442"/>
      <c r="K57" s="442"/>
      <c r="L57" s="442"/>
      <c r="M57" s="442" t="s">
        <v>277</v>
      </c>
      <c r="N57" s="442">
        <v>0.05</v>
      </c>
      <c r="O57" s="426" t="s">
        <v>277</v>
      </c>
      <c r="P57" s="445">
        <v>0.5</v>
      </c>
      <c r="Q57" s="442"/>
      <c r="R57" s="449">
        <v>0.061</v>
      </c>
      <c r="S57" s="442"/>
      <c r="T57" s="442"/>
      <c r="U57" s="442" t="s">
        <v>277</v>
      </c>
      <c r="V57" s="442">
        <v>0.05</v>
      </c>
      <c r="W57" s="442"/>
      <c r="X57" s="446"/>
      <c r="Y57" s="446"/>
      <c r="Z57" s="446"/>
      <c r="AA57" s="447"/>
      <c r="AB57" s="447"/>
      <c r="AC57" s="429" t="s">
        <v>277</v>
      </c>
      <c r="AD57" s="461">
        <v>0.5</v>
      </c>
      <c r="AE57" s="447"/>
      <c r="AF57" s="447"/>
      <c r="AG57" s="429" t="s">
        <v>277</v>
      </c>
      <c r="AH57" s="461">
        <v>0.5</v>
      </c>
      <c r="AI57" s="447"/>
      <c r="AJ57" s="447"/>
    </row>
    <row r="58" spans="1:36" ht="15">
      <c r="A58" s="437">
        <v>55</v>
      </c>
      <c r="B58" s="438" t="s">
        <v>70</v>
      </c>
      <c r="C58" s="73"/>
      <c r="D58" s="442"/>
      <c r="E58" s="426"/>
      <c r="F58" s="442"/>
      <c r="G58" s="442"/>
      <c r="H58" s="442"/>
      <c r="I58" s="442"/>
      <c r="J58" s="442"/>
      <c r="K58" s="442"/>
      <c r="L58" s="442"/>
      <c r="M58" s="442"/>
      <c r="N58" s="442"/>
      <c r="O58" s="426" t="s">
        <v>277</v>
      </c>
      <c r="P58" s="445">
        <v>1</v>
      </c>
      <c r="Q58" s="442"/>
      <c r="R58" s="442"/>
      <c r="S58" s="442"/>
      <c r="T58" s="442"/>
      <c r="U58" s="442"/>
      <c r="V58" s="442"/>
      <c r="W58" s="442"/>
      <c r="X58" s="446"/>
      <c r="Y58" s="446"/>
      <c r="Z58" s="446"/>
      <c r="AA58" s="447"/>
      <c r="AB58" s="447"/>
      <c r="AC58" s="429" t="s">
        <v>277</v>
      </c>
      <c r="AD58" s="461">
        <v>1</v>
      </c>
      <c r="AE58" s="447"/>
      <c r="AF58" s="447"/>
      <c r="AG58" s="429" t="s">
        <v>277</v>
      </c>
      <c r="AH58" s="461">
        <v>1</v>
      </c>
      <c r="AI58" s="447"/>
      <c r="AJ58" s="447"/>
    </row>
    <row r="59" spans="1:36" ht="15">
      <c r="A59" s="437">
        <v>56</v>
      </c>
      <c r="B59" s="438" t="s">
        <v>71</v>
      </c>
      <c r="C59" s="73"/>
      <c r="D59" s="442"/>
      <c r="E59" s="426"/>
      <c r="F59" s="442"/>
      <c r="G59" s="442"/>
      <c r="H59" s="442"/>
      <c r="I59" s="442"/>
      <c r="J59" s="442"/>
      <c r="K59" s="442"/>
      <c r="L59" s="442"/>
      <c r="M59" s="442"/>
      <c r="N59" s="442"/>
      <c r="O59" s="426" t="s">
        <v>277</v>
      </c>
      <c r="P59" s="445">
        <v>0.5</v>
      </c>
      <c r="Q59" s="442"/>
      <c r="R59" s="442"/>
      <c r="S59" s="442"/>
      <c r="T59" s="442"/>
      <c r="U59" s="442"/>
      <c r="V59" s="442"/>
      <c r="W59" s="442"/>
      <c r="X59" s="446"/>
      <c r="Y59" s="446"/>
      <c r="Z59" s="446"/>
      <c r="AA59" s="447"/>
      <c r="AB59" s="447"/>
      <c r="AC59" s="429" t="s">
        <v>277</v>
      </c>
      <c r="AD59" s="461">
        <v>0.5</v>
      </c>
      <c r="AE59" s="447"/>
      <c r="AF59" s="447"/>
      <c r="AG59" s="429" t="s">
        <v>277</v>
      </c>
      <c r="AH59" s="461">
        <v>0.5</v>
      </c>
      <c r="AI59" s="447"/>
      <c r="AJ59" s="447"/>
    </row>
    <row r="60" spans="1:36" ht="15.75">
      <c r="A60" s="437">
        <v>57</v>
      </c>
      <c r="B60" s="438" t="s">
        <v>72</v>
      </c>
      <c r="C60" s="73"/>
      <c r="D60" s="442"/>
      <c r="E60" s="426"/>
      <c r="F60" s="442"/>
      <c r="G60" s="442"/>
      <c r="H60" s="442"/>
      <c r="I60" s="442"/>
      <c r="J60" s="442"/>
      <c r="K60" s="442"/>
      <c r="L60" s="442"/>
      <c r="M60" s="442"/>
      <c r="N60" s="442"/>
      <c r="O60" s="474" t="s">
        <v>277</v>
      </c>
      <c r="P60" s="445">
        <v>0.5</v>
      </c>
      <c r="Q60" s="442"/>
      <c r="R60" s="442"/>
      <c r="S60" s="442"/>
      <c r="T60" s="442"/>
      <c r="U60" s="442"/>
      <c r="V60" s="442"/>
      <c r="W60" s="442"/>
      <c r="X60" s="446"/>
      <c r="Y60" s="446"/>
      <c r="Z60" s="446"/>
      <c r="AA60" s="447"/>
      <c r="AB60" s="447"/>
      <c r="AC60" s="477" t="s">
        <v>277</v>
      </c>
      <c r="AD60" s="461">
        <v>1</v>
      </c>
      <c r="AE60" s="447"/>
      <c r="AF60" s="447"/>
      <c r="AG60" s="477" t="s">
        <v>277</v>
      </c>
      <c r="AH60" s="461">
        <v>1</v>
      </c>
      <c r="AI60" s="447"/>
      <c r="AJ60" s="447"/>
    </row>
    <row r="61" spans="1:36" ht="12.75" customHeight="1">
      <c r="A61" s="437">
        <v>58</v>
      </c>
      <c r="B61" s="438" t="s">
        <v>73</v>
      </c>
      <c r="C61" s="73"/>
      <c r="D61" s="442"/>
      <c r="E61" s="426"/>
      <c r="F61" s="442"/>
      <c r="G61" s="442"/>
      <c r="H61" s="442"/>
      <c r="I61" s="442"/>
      <c r="J61" s="442"/>
      <c r="K61" s="442"/>
      <c r="L61" s="442"/>
      <c r="M61" s="442"/>
      <c r="N61" s="442"/>
      <c r="O61" s="474"/>
      <c r="P61" s="445"/>
      <c r="Q61" s="442" t="s">
        <v>277</v>
      </c>
      <c r="R61" s="442">
        <v>1</v>
      </c>
      <c r="S61" s="442"/>
      <c r="T61" s="442"/>
      <c r="U61" s="442"/>
      <c r="V61" s="442"/>
      <c r="W61" s="442"/>
      <c r="X61" s="446"/>
      <c r="Y61" s="446"/>
      <c r="Z61" s="446"/>
      <c r="AA61" s="447"/>
      <c r="AB61" s="447"/>
      <c r="AC61" s="447" t="s">
        <v>277</v>
      </c>
      <c r="AD61" s="447">
        <v>1</v>
      </c>
      <c r="AE61" s="447"/>
      <c r="AF61" s="447"/>
      <c r="AG61" s="447" t="s">
        <v>277</v>
      </c>
      <c r="AH61" s="447">
        <v>1</v>
      </c>
      <c r="AI61" s="447"/>
      <c r="AJ61" s="447"/>
    </row>
    <row r="62" spans="1:36" ht="12.75" customHeight="1">
      <c r="A62" s="437">
        <v>59</v>
      </c>
      <c r="B62" s="438" t="s">
        <v>74</v>
      </c>
      <c r="C62" s="73"/>
      <c r="D62" s="442"/>
      <c r="E62" s="426"/>
      <c r="F62" s="442"/>
      <c r="G62" s="442"/>
      <c r="H62" s="442"/>
      <c r="I62" s="442"/>
      <c r="J62" s="442"/>
      <c r="K62" s="442"/>
      <c r="L62" s="442"/>
      <c r="M62" s="442"/>
      <c r="N62" s="442"/>
      <c r="O62" s="442"/>
      <c r="P62" s="445"/>
      <c r="Q62" s="442" t="s">
        <v>277</v>
      </c>
      <c r="R62" s="442">
        <v>1</v>
      </c>
      <c r="S62" s="442"/>
      <c r="T62" s="442"/>
      <c r="U62" s="442"/>
      <c r="V62" s="442"/>
      <c r="W62" s="442"/>
      <c r="X62" s="446"/>
      <c r="Y62" s="446"/>
      <c r="Z62" s="446"/>
      <c r="AA62" s="447"/>
      <c r="AB62" s="447"/>
      <c r="AC62" s="447" t="s">
        <v>277</v>
      </c>
      <c r="AD62" s="447">
        <v>1</v>
      </c>
      <c r="AE62" s="447"/>
      <c r="AF62" s="447"/>
      <c r="AG62" s="447" t="s">
        <v>277</v>
      </c>
      <c r="AH62" s="447">
        <v>1</v>
      </c>
      <c r="AI62" s="447"/>
      <c r="AJ62" s="447"/>
    </row>
    <row r="63" spans="1:36" ht="15">
      <c r="A63" s="437">
        <v>60</v>
      </c>
      <c r="B63" s="438" t="s">
        <v>75</v>
      </c>
      <c r="C63" s="73"/>
      <c r="D63" s="442"/>
      <c r="E63" s="426"/>
      <c r="F63" s="442"/>
      <c r="G63" s="442"/>
      <c r="H63" s="442"/>
      <c r="I63" s="442"/>
      <c r="J63" s="442"/>
      <c r="K63" s="442"/>
      <c r="L63" s="442"/>
      <c r="M63" s="442"/>
      <c r="N63" s="442"/>
      <c r="O63" s="442"/>
      <c r="P63" s="445"/>
      <c r="Q63" s="442" t="s">
        <v>277</v>
      </c>
      <c r="R63" s="442">
        <v>1</v>
      </c>
      <c r="S63" s="442"/>
      <c r="T63" s="442"/>
      <c r="U63" s="442"/>
      <c r="V63" s="442"/>
      <c r="W63" s="442"/>
      <c r="X63" s="446"/>
      <c r="Y63" s="446"/>
      <c r="Z63" s="446"/>
      <c r="AA63" s="447"/>
      <c r="AB63" s="447"/>
      <c r="AC63" s="447" t="s">
        <v>277</v>
      </c>
      <c r="AD63" s="447">
        <v>1</v>
      </c>
      <c r="AE63" s="447"/>
      <c r="AF63" s="447"/>
      <c r="AG63" s="447" t="s">
        <v>277</v>
      </c>
      <c r="AH63" s="447">
        <v>1</v>
      </c>
      <c r="AI63" s="447"/>
      <c r="AJ63" s="447"/>
    </row>
    <row r="64" spans="1:36" ht="15">
      <c r="A64" s="437">
        <v>61</v>
      </c>
      <c r="B64" s="438" t="s">
        <v>76</v>
      </c>
      <c r="C64" s="73"/>
      <c r="D64" s="442"/>
      <c r="E64" s="426"/>
      <c r="F64" s="442"/>
      <c r="G64" s="442"/>
      <c r="H64" s="442"/>
      <c r="I64" s="442"/>
      <c r="J64" s="442"/>
      <c r="K64" s="442"/>
      <c r="L64" s="442"/>
      <c r="M64" s="442"/>
      <c r="N64" s="442"/>
      <c r="O64" s="442"/>
      <c r="P64" s="445"/>
      <c r="Q64" s="442" t="s">
        <v>277</v>
      </c>
      <c r="R64" s="442">
        <v>1</v>
      </c>
      <c r="S64" s="442"/>
      <c r="T64" s="442"/>
      <c r="U64" s="442"/>
      <c r="V64" s="442"/>
      <c r="W64" s="442"/>
      <c r="X64" s="446"/>
      <c r="Y64" s="446"/>
      <c r="Z64" s="446"/>
      <c r="AA64" s="447"/>
      <c r="AB64" s="447"/>
      <c r="AC64" s="447" t="s">
        <v>277</v>
      </c>
      <c r="AD64" s="447">
        <v>1</v>
      </c>
      <c r="AE64" s="447"/>
      <c r="AF64" s="447"/>
      <c r="AG64" s="447" t="s">
        <v>277</v>
      </c>
      <c r="AH64" s="447">
        <v>1</v>
      </c>
      <c r="AI64" s="447"/>
      <c r="AJ64" s="447"/>
    </row>
    <row r="65" spans="1:36" ht="15">
      <c r="A65" s="437">
        <v>62</v>
      </c>
      <c r="B65" s="438" t="s">
        <v>77</v>
      </c>
      <c r="C65" s="73"/>
      <c r="D65" s="442"/>
      <c r="E65" s="426"/>
      <c r="F65" s="442"/>
      <c r="G65" s="442"/>
      <c r="H65" s="442"/>
      <c r="I65" s="442"/>
      <c r="J65" s="442"/>
      <c r="K65" s="442"/>
      <c r="L65" s="442"/>
      <c r="M65" s="442"/>
      <c r="N65" s="442"/>
      <c r="O65" s="442"/>
      <c r="P65" s="445"/>
      <c r="Q65" s="442" t="s">
        <v>277</v>
      </c>
      <c r="R65" s="442">
        <v>1</v>
      </c>
      <c r="S65" s="442"/>
      <c r="T65" s="442"/>
      <c r="U65" s="442"/>
      <c r="V65" s="442"/>
      <c r="W65" s="442"/>
      <c r="X65" s="446"/>
      <c r="Y65" s="446"/>
      <c r="Z65" s="446"/>
      <c r="AA65" s="447"/>
      <c r="AB65" s="447"/>
      <c r="AC65" s="447" t="s">
        <v>277</v>
      </c>
      <c r="AD65" s="447">
        <v>1</v>
      </c>
      <c r="AE65" s="447"/>
      <c r="AF65" s="447"/>
      <c r="AG65" s="447" t="s">
        <v>277</v>
      </c>
      <c r="AH65" s="447">
        <v>1</v>
      </c>
      <c r="AI65" s="447"/>
      <c r="AJ65" s="447"/>
    </row>
    <row r="66" spans="1:36" ht="15">
      <c r="A66" s="437">
        <v>63</v>
      </c>
      <c r="B66" s="439" t="s">
        <v>78</v>
      </c>
      <c r="C66" s="73"/>
      <c r="D66" s="442"/>
      <c r="E66" s="426"/>
      <c r="F66" s="442"/>
      <c r="G66" s="442"/>
      <c r="H66" s="442"/>
      <c r="I66" s="442"/>
      <c r="J66" s="442"/>
      <c r="K66" s="442"/>
      <c r="L66" s="442"/>
      <c r="M66" s="442"/>
      <c r="N66" s="442"/>
      <c r="O66" s="444"/>
      <c r="P66" s="445"/>
      <c r="Q66" s="442" t="s">
        <v>277</v>
      </c>
      <c r="R66" s="442">
        <v>1</v>
      </c>
      <c r="S66" s="442"/>
      <c r="T66" s="442"/>
      <c r="U66" s="442"/>
      <c r="V66" s="442"/>
      <c r="W66" s="442"/>
      <c r="X66" s="446"/>
      <c r="Y66" s="446"/>
      <c r="Z66" s="446"/>
      <c r="AA66" s="447"/>
      <c r="AB66" s="447"/>
      <c r="AC66" s="447" t="s">
        <v>277</v>
      </c>
      <c r="AD66" s="447">
        <v>1</v>
      </c>
      <c r="AE66" s="447"/>
      <c r="AF66" s="447"/>
      <c r="AG66" s="447" t="s">
        <v>277</v>
      </c>
      <c r="AH66" s="447">
        <v>1</v>
      </c>
      <c r="AI66" s="447"/>
      <c r="AJ66" s="447"/>
    </row>
    <row r="67" spans="1:36" ht="15">
      <c r="A67" s="437">
        <v>64</v>
      </c>
      <c r="B67" s="438" t="s">
        <v>79</v>
      </c>
      <c r="C67" s="73"/>
      <c r="D67" s="442"/>
      <c r="E67" s="426"/>
      <c r="F67" s="442"/>
      <c r="G67" s="442"/>
      <c r="H67" s="442"/>
      <c r="I67" s="442"/>
      <c r="J67" s="442"/>
      <c r="K67" s="442"/>
      <c r="L67" s="442"/>
      <c r="M67" s="442"/>
      <c r="N67" s="442"/>
      <c r="O67" s="442"/>
      <c r="P67" s="445"/>
      <c r="Q67" s="442" t="s">
        <v>277</v>
      </c>
      <c r="R67" s="442">
        <v>2</v>
      </c>
      <c r="S67" s="442"/>
      <c r="T67" s="442"/>
      <c r="U67" s="442"/>
      <c r="V67" s="442"/>
      <c r="W67" s="442"/>
      <c r="X67" s="446"/>
      <c r="Y67" s="446"/>
      <c r="Z67" s="446"/>
      <c r="AA67" s="447"/>
      <c r="AB67" s="447"/>
      <c r="AC67" s="447" t="s">
        <v>277</v>
      </c>
      <c r="AD67" s="447">
        <v>2</v>
      </c>
      <c r="AE67" s="447"/>
      <c r="AF67" s="447"/>
      <c r="AG67" s="447" t="s">
        <v>277</v>
      </c>
      <c r="AH67" s="447">
        <v>2</v>
      </c>
      <c r="AI67" s="447"/>
      <c r="AJ67" s="447"/>
    </row>
    <row r="68" spans="1:36" ht="15">
      <c r="A68" s="437">
        <v>65</v>
      </c>
      <c r="B68" s="438" t="s">
        <v>80</v>
      </c>
      <c r="C68" s="73"/>
      <c r="D68" s="442"/>
      <c r="E68" s="426"/>
      <c r="F68" s="442"/>
      <c r="G68" s="442"/>
      <c r="H68" s="442"/>
      <c r="I68" s="442"/>
      <c r="J68" s="442"/>
      <c r="K68" s="442"/>
      <c r="L68" s="442"/>
      <c r="M68" s="442"/>
      <c r="N68" s="442"/>
      <c r="O68" s="444" t="s">
        <v>277</v>
      </c>
      <c r="P68" s="445">
        <v>1</v>
      </c>
      <c r="Q68" s="442"/>
      <c r="R68" s="442"/>
      <c r="S68" s="442"/>
      <c r="T68" s="442"/>
      <c r="U68" s="442"/>
      <c r="V68" s="442"/>
      <c r="W68" s="442"/>
      <c r="X68" s="446"/>
      <c r="Y68" s="446"/>
      <c r="Z68" s="446"/>
      <c r="AA68" s="447"/>
      <c r="AB68" s="447"/>
      <c r="AC68" s="448" t="s">
        <v>277</v>
      </c>
      <c r="AD68" s="461">
        <v>1</v>
      </c>
      <c r="AE68" s="447"/>
      <c r="AF68" s="447"/>
      <c r="AG68" s="448" t="s">
        <v>277</v>
      </c>
      <c r="AH68" s="461">
        <v>1</v>
      </c>
      <c r="AI68" s="447"/>
      <c r="AJ68" s="447"/>
    </row>
    <row r="69" spans="1:36" ht="15">
      <c r="A69" s="437">
        <v>66</v>
      </c>
      <c r="B69" s="438" t="s">
        <v>81</v>
      </c>
      <c r="C69" s="73"/>
      <c r="D69" s="442"/>
      <c r="E69" s="426"/>
      <c r="F69" s="442"/>
      <c r="G69" s="442"/>
      <c r="H69" s="442"/>
      <c r="I69" s="442"/>
      <c r="J69" s="442"/>
      <c r="K69" s="442"/>
      <c r="L69" s="442"/>
      <c r="M69" s="442"/>
      <c r="N69" s="442"/>
      <c r="O69" s="444" t="s">
        <v>277</v>
      </c>
      <c r="P69" s="445">
        <v>0.5</v>
      </c>
      <c r="Q69" s="442"/>
      <c r="R69" s="442"/>
      <c r="S69" s="442"/>
      <c r="T69" s="442"/>
      <c r="U69" s="442"/>
      <c r="V69" s="442"/>
      <c r="W69" s="442"/>
      <c r="X69" s="446"/>
      <c r="Y69" s="446"/>
      <c r="Z69" s="446"/>
      <c r="AA69" s="447"/>
      <c r="AB69" s="447"/>
      <c r="AC69" s="448" t="s">
        <v>277</v>
      </c>
      <c r="AD69" s="461">
        <v>0.5</v>
      </c>
      <c r="AE69" s="447"/>
      <c r="AF69" s="447"/>
      <c r="AG69" s="448" t="s">
        <v>277</v>
      </c>
      <c r="AH69" s="461">
        <v>0.5</v>
      </c>
      <c r="AI69" s="447"/>
      <c r="AJ69" s="447"/>
    </row>
    <row r="70" spans="1:36" ht="15">
      <c r="A70" s="437">
        <v>67</v>
      </c>
      <c r="B70" s="438" t="s">
        <v>82</v>
      </c>
      <c r="C70" s="73"/>
      <c r="D70" s="442"/>
      <c r="E70" s="426"/>
      <c r="F70" s="442"/>
      <c r="G70" s="442"/>
      <c r="H70" s="442"/>
      <c r="I70" s="442"/>
      <c r="J70" s="442"/>
      <c r="K70" s="442"/>
      <c r="L70" s="442"/>
      <c r="M70" s="442"/>
      <c r="N70" s="442"/>
      <c r="O70" s="444" t="s">
        <v>277</v>
      </c>
      <c r="P70" s="445">
        <v>0.5</v>
      </c>
      <c r="Q70" s="442"/>
      <c r="R70" s="442"/>
      <c r="S70" s="442"/>
      <c r="T70" s="442"/>
      <c r="U70" s="442"/>
      <c r="V70" s="442"/>
      <c r="W70" s="442"/>
      <c r="X70" s="446"/>
      <c r="Y70" s="446"/>
      <c r="Z70" s="446"/>
      <c r="AA70" s="447"/>
      <c r="AB70" s="447"/>
      <c r="AC70" s="448" t="s">
        <v>277</v>
      </c>
      <c r="AD70" s="461">
        <v>0.5</v>
      </c>
      <c r="AE70" s="447"/>
      <c r="AF70" s="447"/>
      <c r="AG70" s="448" t="s">
        <v>277</v>
      </c>
      <c r="AH70" s="461">
        <v>0.5</v>
      </c>
      <c r="AI70" s="447"/>
      <c r="AJ70" s="447"/>
    </row>
    <row r="71" spans="1:36" ht="15.75">
      <c r="A71" s="437">
        <v>68</v>
      </c>
      <c r="B71" s="438" t="s">
        <v>83</v>
      </c>
      <c r="C71" s="73"/>
      <c r="D71" s="442"/>
      <c r="E71" s="426"/>
      <c r="F71" s="442"/>
      <c r="G71" s="442"/>
      <c r="H71" s="442"/>
      <c r="I71" s="442"/>
      <c r="J71" s="442"/>
      <c r="K71" s="442"/>
      <c r="L71" s="442"/>
      <c r="M71" s="442"/>
      <c r="N71" s="442"/>
      <c r="O71" s="444"/>
      <c r="P71" s="445"/>
      <c r="Q71" s="442" t="s">
        <v>277</v>
      </c>
      <c r="R71" s="442">
        <v>2</v>
      </c>
      <c r="S71" s="442"/>
      <c r="T71" s="442"/>
      <c r="U71" s="442"/>
      <c r="V71" s="442"/>
      <c r="W71" s="442"/>
      <c r="X71" s="446"/>
      <c r="Y71" s="446"/>
      <c r="Z71" s="446"/>
      <c r="AA71" s="447"/>
      <c r="AB71" s="447"/>
      <c r="AC71" s="447"/>
      <c r="AD71" s="456">
        <v>7</v>
      </c>
      <c r="AE71" s="456"/>
      <c r="AF71" s="456"/>
      <c r="AG71" s="456"/>
      <c r="AH71" s="456">
        <v>7</v>
      </c>
      <c r="AI71" s="456"/>
      <c r="AJ71" s="456"/>
    </row>
    <row r="72" spans="1:36" ht="15">
      <c r="A72" s="437">
        <v>69</v>
      </c>
      <c r="B72" s="438" t="s">
        <v>84</v>
      </c>
      <c r="C72" s="73"/>
      <c r="D72" s="442"/>
      <c r="E72" s="426"/>
      <c r="F72" s="442"/>
      <c r="G72" s="442"/>
      <c r="H72" s="442"/>
      <c r="I72" s="442"/>
      <c r="J72" s="442"/>
      <c r="K72" s="442"/>
      <c r="L72" s="442"/>
      <c r="M72" s="442"/>
      <c r="N72" s="442"/>
      <c r="O72" s="444"/>
      <c r="P72" s="445"/>
      <c r="Q72" s="442" t="s">
        <v>277</v>
      </c>
      <c r="R72" s="442">
        <v>1</v>
      </c>
      <c r="S72" s="442"/>
      <c r="T72" s="442"/>
      <c r="U72" s="442"/>
      <c r="V72" s="442"/>
      <c r="W72" s="442"/>
      <c r="X72" s="446"/>
      <c r="Y72" s="446"/>
      <c r="Z72" s="446"/>
      <c r="AA72" s="447"/>
      <c r="AB72" s="447"/>
      <c r="AC72" s="447" t="s">
        <v>277</v>
      </c>
      <c r="AD72" s="447">
        <v>1</v>
      </c>
      <c r="AE72" s="447"/>
      <c r="AF72" s="447"/>
      <c r="AG72" s="447" t="s">
        <v>277</v>
      </c>
      <c r="AH72" s="447">
        <v>1</v>
      </c>
      <c r="AI72" s="447"/>
      <c r="AJ72" s="447"/>
    </row>
    <row r="73" spans="1:36" ht="15">
      <c r="A73" s="437">
        <v>70</v>
      </c>
      <c r="B73" s="438" t="s">
        <v>85</v>
      </c>
      <c r="C73" s="73"/>
      <c r="D73" s="442"/>
      <c r="E73" s="426"/>
      <c r="F73" s="442"/>
      <c r="G73" s="442"/>
      <c r="H73" s="442"/>
      <c r="I73" s="442"/>
      <c r="J73" s="442"/>
      <c r="K73" s="442"/>
      <c r="L73" s="442"/>
      <c r="M73" s="442"/>
      <c r="N73" s="442"/>
      <c r="O73" s="444"/>
      <c r="P73" s="445"/>
      <c r="Q73" s="442" t="s">
        <v>277</v>
      </c>
      <c r="R73" s="442">
        <v>1</v>
      </c>
      <c r="S73" s="442"/>
      <c r="T73" s="442"/>
      <c r="U73" s="442"/>
      <c r="V73" s="442"/>
      <c r="W73" s="442"/>
      <c r="X73" s="446"/>
      <c r="Y73" s="446"/>
      <c r="Z73" s="446"/>
      <c r="AA73" s="447"/>
      <c r="AB73" s="447"/>
      <c r="AC73" s="447" t="s">
        <v>277</v>
      </c>
      <c r="AD73" s="447">
        <v>5</v>
      </c>
      <c r="AE73" s="447"/>
      <c r="AF73" s="447"/>
      <c r="AG73" s="447" t="s">
        <v>277</v>
      </c>
      <c r="AH73" s="447">
        <v>5</v>
      </c>
      <c r="AI73" s="447"/>
      <c r="AJ73" s="447"/>
    </row>
    <row r="74" spans="1:36" ht="15">
      <c r="A74" s="437">
        <v>71</v>
      </c>
      <c r="B74" s="438" t="s">
        <v>86</v>
      </c>
      <c r="C74" s="73"/>
      <c r="D74" s="442"/>
      <c r="E74" s="426"/>
      <c r="F74" s="442"/>
      <c r="G74" s="442"/>
      <c r="H74" s="442"/>
      <c r="I74" s="442"/>
      <c r="J74" s="442"/>
      <c r="K74" s="442"/>
      <c r="L74" s="442"/>
      <c r="M74" s="442"/>
      <c r="N74" s="442"/>
      <c r="O74" s="444"/>
      <c r="P74" s="445"/>
      <c r="Q74" s="442"/>
      <c r="R74" s="442"/>
      <c r="S74" s="442"/>
      <c r="T74" s="442"/>
      <c r="U74" s="442"/>
      <c r="V74" s="442"/>
      <c r="W74" s="442"/>
      <c r="X74" s="446"/>
      <c r="Y74" s="446"/>
      <c r="Z74" s="446"/>
      <c r="AA74" s="447"/>
      <c r="AB74" s="447"/>
      <c r="AC74" s="447" t="s">
        <v>277</v>
      </c>
      <c r="AD74" s="447">
        <v>1</v>
      </c>
      <c r="AE74" s="447"/>
      <c r="AF74" s="447"/>
      <c r="AG74" s="447" t="s">
        <v>277</v>
      </c>
      <c r="AH74" s="447">
        <v>1</v>
      </c>
      <c r="AI74" s="447"/>
      <c r="AJ74" s="447"/>
    </row>
    <row r="75" spans="1:36" ht="15">
      <c r="A75" s="437">
        <v>72</v>
      </c>
      <c r="B75" s="438" t="s">
        <v>87</v>
      </c>
      <c r="C75" s="73"/>
      <c r="D75" s="442"/>
      <c r="E75" s="426"/>
      <c r="F75" s="442"/>
      <c r="G75" s="442"/>
      <c r="H75" s="442"/>
      <c r="I75" s="442"/>
      <c r="J75" s="442"/>
      <c r="K75" s="442"/>
      <c r="L75" s="442"/>
      <c r="M75" s="442"/>
      <c r="N75" s="442"/>
      <c r="O75" s="444"/>
      <c r="P75" s="445"/>
      <c r="Q75" s="442" t="s">
        <v>277</v>
      </c>
      <c r="R75" s="442">
        <v>1</v>
      </c>
      <c r="S75" s="442"/>
      <c r="T75" s="442"/>
      <c r="U75" s="442"/>
      <c r="V75" s="442"/>
      <c r="W75" s="442"/>
      <c r="X75" s="446"/>
      <c r="Y75" s="446"/>
      <c r="Z75" s="446"/>
      <c r="AA75" s="447"/>
      <c r="AB75" s="447"/>
      <c r="AC75" s="447" t="s">
        <v>277</v>
      </c>
      <c r="AD75" s="447">
        <v>1</v>
      </c>
      <c r="AE75" s="447"/>
      <c r="AF75" s="447"/>
      <c r="AG75" s="447" t="s">
        <v>277</v>
      </c>
      <c r="AH75" s="447">
        <v>1</v>
      </c>
      <c r="AI75" s="447"/>
      <c r="AJ75" s="447"/>
    </row>
    <row r="76" spans="1:36" ht="15">
      <c r="A76" s="437">
        <v>73</v>
      </c>
      <c r="B76" s="438" t="s">
        <v>88</v>
      </c>
      <c r="C76" s="73"/>
      <c r="D76" s="442"/>
      <c r="E76" s="426"/>
      <c r="F76" s="442"/>
      <c r="G76" s="442"/>
      <c r="H76" s="442"/>
      <c r="I76" s="442"/>
      <c r="J76" s="442"/>
      <c r="K76" s="442"/>
      <c r="L76" s="442"/>
      <c r="M76" s="442"/>
      <c r="N76" s="442"/>
      <c r="O76" s="426"/>
      <c r="P76" s="445"/>
      <c r="Q76" s="442" t="s">
        <v>277</v>
      </c>
      <c r="R76" s="442">
        <v>1</v>
      </c>
      <c r="S76" s="442"/>
      <c r="T76" s="442"/>
      <c r="U76" s="442"/>
      <c r="V76" s="442"/>
      <c r="W76" s="442"/>
      <c r="X76" s="446"/>
      <c r="Y76" s="446"/>
      <c r="Z76" s="446"/>
      <c r="AA76" s="447"/>
      <c r="AB76" s="447"/>
      <c r="AC76" s="447" t="s">
        <v>277</v>
      </c>
      <c r="AD76" s="447">
        <v>1</v>
      </c>
      <c r="AE76" s="447"/>
      <c r="AF76" s="447"/>
      <c r="AG76" s="447" t="s">
        <v>277</v>
      </c>
      <c r="AH76" s="447">
        <v>1</v>
      </c>
      <c r="AI76" s="447"/>
      <c r="AJ76" s="447"/>
    </row>
    <row r="77" spans="1:36" ht="15">
      <c r="A77" s="437">
        <v>74</v>
      </c>
      <c r="B77" s="438" t="s">
        <v>89</v>
      </c>
      <c r="C77" s="73"/>
      <c r="D77" s="442"/>
      <c r="E77" s="426"/>
      <c r="F77" s="442"/>
      <c r="G77" s="442"/>
      <c r="H77" s="442"/>
      <c r="I77" s="442"/>
      <c r="J77" s="442"/>
      <c r="K77" s="442"/>
      <c r="L77" s="442"/>
      <c r="M77" s="442"/>
      <c r="N77" s="442"/>
      <c r="O77" s="426"/>
      <c r="P77" s="445"/>
      <c r="Q77" s="442" t="s">
        <v>277</v>
      </c>
      <c r="R77" s="442">
        <v>1</v>
      </c>
      <c r="S77" s="442"/>
      <c r="T77" s="442"/>
      <c r="U77" s="442"/>
      <c r="V77" s="442"/>
      <c r="W77" s="442"/>
      <c r="X77" s="446"/>
      <c r="Y77" s="446"/>
      <c r="Z77" s="446"/>
      <c r="AA77" s="447"/>
      <c r="AB77" s="447"/>
      <c r="AC77" s="447" t="s">
        <v>277</v>
      </c>
      <c r="AD77" s="447">
        <v>1</v>
      </c>
      <c r="AE77" s="447"/>
      <c r="AF77" s="447"/>
      <c r="AG77" s="447" t="s">
        <v>277</v>
      </c>
      <c r="AH77" s="447">
        <v>1</v>
      </c>
      <c r="AI77" s="447"/>
      <c r="AJ77" s="447"/>
    </row>
    <row r="78" spans="1:36" ht="15">
      <c r="A78" s="437">
        <v>75</v>
      </c>
      <c r="B78" s="438" t="s">
        <v>298</v>
      </c>
      <c r="C78" s="73"/>
      <c r="D78" s="442"/>
      <c r="E78" s="426"/>
      <c r="F78" s="442"/>
      <c r="G78" s="442"/>
      <c r="H78" s="442"/>
      <c r="I78" s="442"/>
      <c r="J78" s="442"/>
      <c r="K78" s="442"/>
      <c r="L78" s="442"/>
      <c r="M78" s="442"/>
      <c r="N78" s="442"/>
      <c r="O78" s="426" t="s">
        <v>277</v>
      </c>
      <c r="P78" s="445">
        <v>0.5</v>
      </c>
      <c r="Q78" s="442"/>
      <c r="R78" s="442"/>
      <c r="S78" s="442"/>
      <c r="T78" s="442"/>
      <c r="U78" s="442"/>
      <c r="V78" s="442"/>
      <c r="W78" s="442"/>
      <c r="X78" s="446"/>
      <c r="Y78" s="446"/>
      <c r="Z78" s="446"/>
      <c r="AA78" s="447"/>
      <c r="AB78" s="447"/>
      <c r="AC78" s="429" t="s">
        <v>277</v>
      </c>
      <c r="AD78" s="461">
        <v>0.5</v>
      </c>
      <c r="AE78" s="447"/>
      <c r="AF78" s="447"/>
      <c r="AG78" s="429" t="s">
        <v>277</v>
      </c>
      <c r="AH78" s="461">
        <v>0.5</v>
      </c>
      <c r="AI78" s="447"/>
      <c r="AJ78" s="447"/>
    </row>
    <row r="79" spans="1:36" ht="15">
      <c r="A79" s="437">
        <v>76</v>
      </c>
      <c r="B79" s="438" t="s">
        <v>299</v>
      </c>
      <c r="C79" s="73"/>
      <c r="D79" s="442"/>
      <c r="E79" s="426"/>
      <c r="F79" s="442"/>
      <c r="G79" s="442"/>
      <c r="H79" s="442"/>
      <c r="I79" s="442"/>
      <c r="J79" s="442"/>
      <c r="K79" s="442"/>
      <c r="L79" s="442"/>
      <c r="M79" s="442"/>
      <c r="N79" s="442"/>
      <c r="O79" s="426" t="s">
        <v>277</v>
      </c>
      <c r="P79" s="445">
        <v>0.5</v>
      </c>
      <c r="Q79" s="442"/>
      <c r="R79" s="442"/>
      <c r="S79" s="442"/>
      <c r="T79" s="442"/>
      <c r="U79" s="442"/>
      <c r="V79" s="442"/>
      <c r="W79" s="442"/>
      <c r="X79" s="446"/>
      <c r="Y79" s="446"/>
      <c r="Z79" s="446"/>
      <c r="AA79" s="447"/>
      <c r="AB79" s="447"/>
      <c r="AC79" s="429" t="s">
        <v>277</v>
      </c>
      <c r="AD79" s="461">
        <v>0.5</v>
      </c>
      <c r="AE79" s="447"/>
      <c r="AF79" s="447"/>
      <c r="AG79" s="429" t="s">
        <v>277</v>
      </c>
      <c r="AH79" s="461">
        <v>0.5</v>
      </c>
      <c r="AI79" s="447"/>
      <c r="AJ79" s="447"/>
    </row>
    <row r="80" spans="1:36" ht="15">
      <c r="A80" s="437">
        <v>77</v>
      </c>
      <c r="B80" s="438" t="s">
        <v>300</v>
      </c>
      <c r="C80" s="73"/>
      <c r="D80" s="442"/>
      <c r="E80" s="426"/>
      <c r="F80" s="442"/>
      <c r="G80" s="442"/>
      <c r="H80" s="442"/>
      <c r="I80" s="442"/>
      <c r="J80" s="442"/>
      <c r="K80" s="442"/>
      <c r="L80" s="442"/>
      <c r="M80" s="442"/>
      <c r="N80" s="442"/>
      <c r="O80" s="426" t="s">
        <v>277</v>
      </c>
      <c r="P80" s="445">
        <v>0.5</v>
      </c>
      <c r="Q80" s="442"/>
      <c r="R80" s="442"/>
      <c r="S80" s="442"/>
      <c r="T80" s="442"/>
      <c r="U80" s="442"/>
      <c r="V80" s="442"/>
      <c r="W80" s="442"/>
      <c r="X80" s="446"/>
      <c r="Y80" s="446"/>
      <c r="Z80" s="446"/>
      <c r="AA80" s="447"/>
      <c r="AB80" s="447"/>
      <c r="AC80" s="429" t="s">
        <v>277</v>
      </c>
      <c r="AD80" s="461">
        <v>0.5</v>
      </c>
      <c r="AE80" s="447"/>
      <c r="AF80" s="447"/>
      <c r="AG80" s="429" t="s">
        <v>277</v>
      </c>
      <c r="AH80" s="461">
        <v>0.5</v>
      </c>
      <c r="AI80" s="447"/>
      <c r="AJ80" s="447"/>
    </row>
    <row r="81" spans="1:36" ht="15">
      <c r="A81" s="437">
        <v>78</v>
      </c>
      <c r="B81" s="438" t="s">
        <v>219</v>
      </c>
      <c r="C81" s="73"/>
      <c r="D81" s="442"/>
      <c r="E81" s="426"/>
      <c r="F81" s="442"/>
      <c r="G81" s="442"/>
      <c r="H81" s="442"/>
      <c r="I81" s="442"/>
      <c r="J81" s="442"/>
      <c r="K81" s="442"/>
      <c r="L81" s="442"/>
      <c r="M81" s="442"/>
      <c r="N81" s="442"/>
      <c r="O81" s="426"/>
      <c r="P81" s="445"/>
      <c r="Q81" s="442" t="s">
        <v>277</v>
      </c>
      <c r="R81" s="442">
        <v>1</v>
      </c>
      <c r="S81" s="442"/>
      <c r="T81" s="442"/>
      <c r="U81" s="442"/>
      <c r="V81" s="442"/>
      <c r="W81" s="442"/>
      <c r="X81" s="446"/>
      <c r="Y81" s="446"/>
      <c r="Z81" s="446"/>
      <c r="AA81" s="447"/>
      <c r="AB81" s="447"/>
      <c r="AC81" s="447" t="s">
        <v>277</v>
      </c>
      <c r="AD81" s="447">
        <v>1</v>
      </c>
      <c r="AE81" s="447"/>
      <c r="AF81" s="447"/>
      <c r="AG81" s="447" t="s">
        <v>277</v>
      </c>
      <c r="AH81" s="447">
        <v>1</v>
      </c>
      <c r="AI81" s="447"/>
      <c r="AJ81" s="447"/>
    </row>
    <row r="82" spans="1:36" ht="15.75">
      <c r="A82" s="437">
        <v>79</v>
      </c>
      <c r="B82" s="438" t="s">
        <v>94</v>
      </c>
      <c r="C82" s="73"/>
      <c r="D82" s="442"/>
      <c r="E82" s="426"/>
      <c r="F82" s="442"/>
      <c r="G82" s="442"/>
      <c r="H82" s="442"/>
      <c r="I82" s="442"/>
      <c r="J82" s="442"/>
      <c r="K82" s="442"/>
      <c r="L82" s="442"/>
      <c r="M82" s="442"/>
      <c r="N82" s="442"/>
      <c r="O82" s="426"/>
      <c r="P82" s="445"/>
      <c r="Q82" s="442" t="s">
        <v>277</v>
      </c>
      <c r="R82" s="442">
        <v>1</v>
      </c>
      <c r="S82" s="442"/>
      <c r="T82" s="442"/>
      <c r="U82" s="442"/>
      <c r="V82" s="442"/>
      <c r="W82" s="442"/>
      <c r="X82" s="446"/>
      <c r="Y82" s="446"/>
      <c r="Z82" s="446"/>
      <c r="AA82" s="447"/>
      <c r="AB82" s="447"/>
      <c r="AC82" s="447"/>
      <c r="AD82" s="456">
        <v>1</v>
      </c>
      <c r="AE82" s="456"/>
      <c r="AF82" s="456"/>
      <c r="AG82" s="456"/>
      <c r="AH82" s="456">
        <v>1</v>
      </c>
      <c r="AI82" s="447"/>
      <c r="AJ82" s="447"/>
    </row>
    <row r="83" spans="1:36" ht="15">
      <c r="A83" s="437">
        <v>80</v>
      </c>
      <c r="B83" s="438" t="s">
        <v>95</v>
      </c>
      <c r="C83" s="73"/>
      <c r="D83" s="442"/>
      <c r="E83" s="426"/>
      <c r="F83" s="442"/>
      <c r="G83" s="442"/>
      <c r="H83" s="442"/>
      <c r="I83" s="442"/>
      <c r="J83" s="442"/>
      <c r="K83" s="442"/>
      <c r="L83" s="442"/>
      <c r="M83" s="442"/>
      <c r="N83" s="442"/>
      <c r="O83" s="426" t="s">
        <v>277</v>
      </c>
      <c r="P83" s="445">
        <v>1</v>
      </c>
      <c r="Q83" s="442"/>
      <c r="R83" s="442"/>
      <c r="S83" s="442"/>
      <c r="T83" s="442"/>
      <c r="U83" s="442"/>
      <c r="V83" s="442"/>
      <c r="W83" s="442"/>
      <c r="X83" s="446"/>
      <c r="Y83" s="446"/>
      <c r="Z83" s="446"/>
      <c r="AA83" s="447"/>
      <c r="AB83" s="447"/>
      <c r="AC83" s="447" t="s">
        <v>277</v>
      </c>
      <c r="AD83" s="461">
        <v>1</v>
      </c>
      <c r="AE83" s="447"/>
      <c r="AF83" s="447"/>
      <c r="AG83" s="447" t="s">
        <v>277</v>
      </c>
      <c r="AH83" s="461">
        <v>1</v>
      </c>
      <c r="AI83" s="447"/>
      <c r="AJ83" s="447"/>
    </row>
    <row r="84" spans="1:36" ht="15">
      <c r="A84" s="437">
        <v>81</v>
      </c>
      <c r="B84" s="438" t="s">
        <v>96</v>
      </c>
      <c r="C84" s="73"/>
      <c r="D84" s="442"/>
      <c r="E84" s="426"/>
      <c r="F84" s="442"/>
      <c r="G84" s="442"/>
      <c r="H84" s="442"/>
      <c r="I84" s="442"/>
      <c r="J84" s="442"/>
      <c r="K84" s="442"/>
      <c r="L84" s="442"/>
      <c r="M84" s="442"/>
      <c r="N84" s="442"/>
      <c r="O84" s="426"/>
      <c r="P84" s="445"/>
      <c r="Q84" s="442" t="s">
        <v>277</v>
      </c>
      <c r="R84" s="442">
        <v>1</v>
      </c>
      <c r="S84" s="442"/>
      <c r="T84" s="442"/>
      <c r="U84" s="442"/>
      <c r="V84" s="442"/>
      <c r="W84" s="442"/>
      <c r="X84" s="446"/>
      <c r="Y84" s="446"/>
      <c r="Z84" s="446"/>
      <c r="AA84" s="447"/>
      <c r="AB84" s="447"/>
      <c r="AC84" s="447" t="s">
        <v>277</v>
      </c>
      <c r="AD84" s="447">
        <v>5</v>
      </c>
      <c r="AE84" s="447"/>
      <c r="AF84" s="447"/>
      <c r="AG84" s="447" t="s">
        <v>277</v>
      </c>
      <c r="AH84" s="447">
        <v>5</v>
      </c>
      <c r="AI84" s="447"/>
      <c r="AJ84" s="447"/>
    </row>
    <row r="85" spans="1:36" ht="15">
      <c r="A85" s="437">
        <v>82</v>
      </c>
      <c r="B85" s="438" t="s">
        <v>97</v>
      </c>
      <c r="C85" s="73"/>
      <c r="D85" s="442"/>
      <c r="E85" s="426"/>
      <c r="F85" s="442"/>
      <c r="G85" s="442"/>
      <c r="H85" s="442"/>
      <c r="I85" s="442"/>
      <c r="J85" s="442"/>
      <c r="K85" s="442"/>
      <c r="L85" s="442"/>
      <c r="M85" s="442"/>
      <c r="N85" s="442"/>
      <c r="O85" s="426"/>
      <c r="P85" s="445"/>
      <c r="Q85" s="442" t="s">
        <v>277</v>
      </c>
      <c r="R85" s="442">
        <v>1</v>
      </c>
      <c r="S85" s="442"/>
      <c r="T85" s="442"/>
      <c r="U85" s="442"/>
      <c r="V85" s="442"/>
      <c r="W85" s="442"/>
      <c r="X85" s="446"/>
      <c r="Y85" s="446"/>
      <c r="Z85" s="446"/>
      <c r="AA85" s="447"/>
      <c r="AB85" s="447"/>
      <c r="AC85" s="447" t="s">
        <v>277</v>
      </c>
      <c r="AD85" s="447">
        <v>1</v>
      </c>
      <c r="AE85" s="447"/>
      <c r="AF85" s="447"/>
      <c r="AG85" s="447" t="s">
        <v>277</v>
      </c>
      <c r="AH85" s="447">
        <v>1</v>
      </c>
      <c r="AI85" s="447"/>
      <c r="AJ85" s="447"/>
    </row>
    <row r="86" spans="1:36" ht="15">
      <c r="A86" s="437">
        <v>83</v>
      </c>
      <c r="B86" s="438" t="s">
        <v>98</v>
      </c>
      <c r="C86" s="73"/>
      <c r="D86" s="442"/>
      <c r="E86" s="426"/>
      <c r="F86" s="442"/>
      <c r="G86" s="442"/>
      <c r="H86" s="442"/>
      <c r="I86" s="442"/>
      <c r="J86" s="442"/>
      <c r="K86" s="442"/>
      <c r="L86" s="442"/>
      <c r="M86" s="442"/>
      <c r="N86" s="442"/>
      <c r="O86" s="426" t="s">
        <v>277</v>
      </c>
      <c r="P86" s="445">
        <v>1</v>
      </c>
      <c r="Q86" s="442"/>
      <c r="R86" s="442"/>
      <c r="S86" s="442"/>
      <c r="T86" s="442"/>
      <c r="U86" s="442"/>
      <c r="V86" s="442"/>
      <c r="W86" s="442"/>
      <c r="X86" s="446"/>
      <c r="Y86" s="446"/>
      <c r="Z86" s="446"/>
      <c r="AA86" s="447"/>
      <c r="AB86" s="447"/>
      <c r="AC86" s="429" t="s">
        <v>277</v>
      </c>
      <c r="AD86" s="461">
        <v>1</v>
      </c>
      <c r="AE86" s="447"/>
      <c r="AF86" s="447"/>
      <c r="AG86" s="429" t="s">
        <v>277</v>
      </c>
      <c r="AH86" s="461">
        <v>1</v>
      </c>
      <c r="AI86" s="447"/>
      <c r="AJ86" s="447"/>
    </row>
    <row r="87" spans="1:36" ht="15.75">
      <c r="A87" s="437">
        <v>84</v>
      </c>
      <c r="B87" s="438" t="s">
        <v>99</v>
      </c>
      <c r="C87" s="73"/>
      <c r="D87" s="442"/>
      <c r="E87" s="426"/>
      <c r="F87" s="442"/>
      <c r="G87" s="442"/>
      <c r="H87" s="442"/>
      <c r="I87" s="442"/>
      <c r="J87" s="442"/>
      <c r="K87" s="442"/>
      <c r="L87" s="442"/>
      <c r="M87" s="442"/>
      <c r="N87" s="442"/>
      <c r="O87" s="426"/>
      <c r="P87" s="445"/>
      <c r="Q87" s="442" t="s">
        <v>277</v>
      </c>
      <c r="R87" s="442">
        <v>1</v>
      </c>
      <c r="S87" s="442"/>
      <c r="T87" s="442"/>
      <c r="U87" s="442"/>
      <c r="V87" s="442"/>
      <c r="W87" s="442"/>
      <c r="X87" s="446"/>
      <c r="Y87" s="446"/>
      <c r="Z87" s="446"/>
      <c r="AA87" s="447"/>
      <c r="AB87" s="447"/>
      <c r="AC87" s="447"/>
      <c r="AD87" s="456">
        <v>47</v>
      </c>
      <c r="AE87" s="447"/>
      <c r="AF87" s="447"/>
      <c r="AG87" s="429" t="s">
        <v>277</v>
      </c>
      <c r="AH87" s="447">
        <v>5</v>
      </c>
      <c r="AI87" s="447"/>
      <c r="AJ87" s="447"/>
    </row>
    <row r="88" spans="1:36" ht="15.75">
      <c r="A88" s="437">
        <v>85</v>
      </c>
      <c r="B88" s="438" t="s">
        <v>100</v>
      </c>
      <c r="C88" s="73"/>
      <c r="D88" s="442"/>
      <c r="E88" s="426"/>
      <c r="F88" s="442"/>
      <c r="G88" s="442"/>
      <c r="H88" s="442"/>
      <c r="I88" s="442"/>
      <c r="J88" s="442"/>
      <c r="K88" s="442"/>
      <c r="L88" s="442"/>
      <c r="M88" s="442"/>
      <c r="N88" s="442"/>
      <c r="O88" s="474"/>
      <c r="P88" s="445"/>
      <c r="Q88" s="442" t="s">
        <v>277</v>
      </c>
      <c r="R88" s="442">
        <v>0.5</v>
      </c>
      <c r="S88" s="442"/>
      <c r="T88" s="442"/>
      <c r="U88" s="442"/>
      <c r="V88" s="442"/>
      <c r="W88" s="442"/>
      <c r="X88" s="446"/>
      <c r="Y88" s="446"/>
      <c r="Z88" s="446"/>
      <c r="AA88" s="447"/>
      <c r="AB88" s="447"/>
      <c r="AC88" s="447" t="s">
        <v>277</v>
      </c>
      <c r="AD88" s="447">
        <v>0.5</v>
      </c>
      <c r="AE88" s="447"/>
      <c r="AF88" s="447"/>
      <c r="AG88" s="447" t="s">
        <v>277</v>
      </c>
      <c r="AH88" s="447">
        <v>0.5</v>
      </c>
      <c r="AI88" s="447"/>
      <c r="AJ88" s="447"/>
    </row>
    <row r="89" spans="1:36" ht="15.75">
      <c r="A89" s="437">
        <v>86</v>
      </c>
      <c r="B89" s="438" t="s">
        <v>101</v>
      </c>
      <c r="C89" s="73"/>
      <c r="D89" s="442"/>
      <c r="E89" s="426"/>
      <c r="F89" s="442"/>
      <c r="G89" s="442"/>
      <c r="H89" s="442"/>
      <c r="I89" s="442"/>
      <c r="J89" s="442"/>
      <c r="K89" s="442"/>
      <c r="L89" s="442"/>
      <c r="M89" s="442"/>
      <c r="N89" s="442"/>
      <c r="O89" s="474"/>
      <c r="P89" s="445"/>
      <c r="Q89" s="442" t="s">
        <v>277</v>
      </c>
      <c r="R89" s="442">
        <v>0.5</v>
      </c>
      <c r="S89" s="442"/>
      <c r="T89" s="442"/>
      <c r="U89" s="442"/>
      <c r="V89" s="442"/>
      <c r="W89" s="442"/>
      <c r="X89" s="446"/>
      <c r="Y89" s="446"/>
      <c r="Z89" s="446"/>
      <c r="AA89" s="447"/>
      <c r="AB89" s="447"/>
      <c r="AC89" s="447" t="s">
        <v>277</v>
      </c>
      <c r="AD89" s="447">
        <v>0.5</v>
      </c>
      <c r="AE89" s="447"/>
      <c r="AF89" s="447"/>
      <c r="AG89" s="447" t="s">
        <v>277</v>
      </c>
      <c r="AH89" s="447">
        <v>0.5</v>
      </c>
      <c r="AI89" s="447"/>
      <c r="AJ89" s="447"/>
    </row>
    <row r="90" spans="1:36" ht="15">
      <c r="A90" s="437">
        <v>87</v>
      </c>
      <c r="B90" s="438" t="s">
        <v>102</v>
      </c>
      <c r="C90" s="73"/>
      <c r="D90" s="442"/>
      <c r="E90" s="426"/>
      <c r="F90" s="442"/>
      <c r="G90" s="442"/>
      <c r="H90" s="442"/>
      <c r="I90" s="442"/>
      <c r="J90" s="442"/>
      <c r="K90" s="442"/>
      <c r="L90" s="442"/>
      <c r="M90" s="442"/>
      <c r="N90" s="442"/>
      <c r="O90" s="442"/>
      <c r="P90" s="445"/>
      <c r="Q90" s="442" t="s">
        <v>277</v>
      </c>
      <c r="R90" s="442">
        <v>2</v>
      </c>
      <c r="S90" s="442"/>
      <c r="T90" s="442"/>
      <c r="U90" s="442"/>
      <c r="V90" s="442"/>
      <c r="W90" s="442"/>
      <c r="X90" s="446"/>
      <c r="Y90" s="446"/>
      <c r="Z90" s="446"/>
      <c r="AA90" s="447"/>
      <c r="AB90" s="447"/>
      <c r="AC90" s="447" t="s">
        <v>277</v>
      </c>
      <c r="AD90" s="447">
        <v>2</v>
      </c>
      <c r="AE90" s="447"/>
      <c r="AF90" s="447"/>
      <c r="AG90" s="447" t="s">
        <v>277</v>
      </c>
      <c r="AH90" s="447">
        <v>2</v>
      </c>
      <c r="AI90" s="447"/>
      <c r="AJ90" s="447"/>
    </row>
    <row r="91" spans="1:36" ht="15">
      <c r="A91" s="437">
        <v>88</v>
      </c>
      <c r="B91" s="438" t="s">
        <v>103</v>
      </c>
      <c r="C91" s="73"/>
      <c r="D91" s="442"/>
      <c r="E91" s="426"/>
      <c r="F91" s="442"/>
      <c r="G91" s="442"/>
      <c r="H91" s="442"/>
      <c r="I91" s="442"/>
      <c r="J91" s="442"/>
      <c r="K91" s="442"/>
      <c r="L91" s="442"/>
      <c r="M91" s="442"/>
      <c r="N91" s="442"/>
      <c r="O91" s="442"/>
      <c r="P91" s="445"/>
      <c r="Q91" s="442" t="s">
        <v>277</v>
      </c>
      <c r="R91" s="442">
        <v>0.5</v>
      </c>
      <c r="S91" s="442"/>
      <c r="T91" s="442"/>
      <c r="U91" s="442"/>
      <c r="V91" s="442"/>
      <c r="W91" s="442"/>
      <c r="X91" s="446"/>
      <c r="Y91" s="446"/>
      <c r="Z91" s="446"/>
      <c r="AA91" s="447"/>
      <c r="AB91" s="447"/>
      <c r="AC91" s="447" t="s">
        <v>277</v>
      </c>
      <c r="AD91" s="447">
        <v>0.5</v>
      </c>
      <c r="AE91" s="447"/>
      <c r="AF91" s="447"/>
      <c r="AG91" s="447" t="s">
        <v>277</v>
      </c>
      <c r="AH91" s="447">
        <v>0.5</v>
      </c>
      <c r="AI91" s="447"/>
      <c r="AJ91" s="447"/>
    </row>
    <row r="92" spans="1:36" ht="15">
      <c r="A92" s="437">
        <v>89</v>
      </c>
      <c r="B92" s="438" t="s">
        <v>104</v>
      </c>
      <c r="C92" s="73"/>
      <c r="D92" s="442"/>
      <c r="E92" s="426"/>
      <c r="F92" s="442"/>
      <c r="G92" s="442"/>
      <c r="H92" s="442"/>
      <c r="I92" s="442"/>
      <c r="J92" s="442"/>
      <c r="K92" s="442"/>
      <c r="L92" s="442"/>
      <c r="M92" s="442"/>
      <c r="N92" s="442"/>
      <c r="O92" s="442" t="s">
        <v>277</v>
      </c>
      <c r="P92" s="445">
        <v>0.5</v>
      </c>
      <c r="Q92" s="442"/>
      <c r="R92" s="442"/>
      <c r="S92" s="442"/>
      <c r="T92" s="442"/>
      <c r="U92" s="442"/>
      <c r="V92" s="442"/>
      <c r="W92" s="442"/>
      <c r="X92" s="446"/>
      <c r="Y92" s="446"/>
      <c r="Z92" s="446"/>
      <c r="AA92" s="447"/>
      <c r="AB92" s="447"/>
      <c r="AC92" s="447" t="s">
        <v>277</v>
      </c>
      <c r="AD92" s="461">
        <v>0.5</v>
      </c>
      <c r="AE92" s="447"/>
      <c r="AF92" s="447"/>
      <c r="AG92" s="447" t="s">
        <v>277</v>
      </c>
      <c r="AH92" s="461">
        <v>0.5</v>
      </c>
      <c r="AI92" s="447"/>
      <c r="AJ92" s="447"/>
    </row>
    <row r="93" spans="1:36" ht="15">
      <c r="A93" s="437">
        <v>90</v>
      </c>
      <c r="B93" s="438" t="s">
        <v>105</v>
      </c>
      <c r="C93" s="73"/>
      <c r="D93" s="442"/>
      <c r="E93" s="426"/>
      <c r="F93" s="442"/>
      <c r="G93" s="442"/>
      <c r="H93" s="442"/>
      <c r="I93" s="442"/>
      <c r="J93" s="442"/>
      <c r="K93" s="442"/>
      <c r="L93" s="442"/>
      <c r="M93" s="442"/>
      <c r="N93" s="442"/>
      <c r="O93" s="442" t="s">
        <v>277</v>
      </c>
      <c r="P93" s="445">
        <v>1</v>
      </c>
      <c r="Q93" s="442"/>
      <c r="R93" s="442"/>
      <c r="S93" s="442"/>
      <c r="T93" s="442"/>
      <c r="U93" s="442"/>
      <c r="V93" s="442"/>
      <c r="W93" s="442"/>
      <c r="X93" s="446"/>
      <c r="Y93" s="446"/>
      <c r="Z93" s="446"/>
      <c r="AA93" s="447"/>
      <c r="AB93" s="447"/>
      <c r="AC93" s="447" t="s">
        <v>277</v>
      </c>
      <c r="AD93" s="461">
        <v>1</v>
      </c>
      <c r="AE93" s="447"/>
      <c r="AF93" s="447"/>
      <c r="AG93" s="447" t="s">
        <v>277</v>
      </c>
      <c r="AH93" s="461">
        <v>1</v>
      </c>
      <c r="AI93" s="447"/>
      <c r="AJ93" s="447"/>
    </row>
    <row r="94" spans="1:36" ht="15">
      <c r="A94" s="437">
        <v>91</v>
      </c>
      <c r="B94" s="438" t="s">
        <v>106</v>
      </c>
      <c r="C94" s="73"/>
      <c r="D94" s="442"/>
      <c r="E94" s="426"/>
      <c r="F94" s="442"/>
      <c r="G94" s="442"/>
      <c r="H94" s="442"/>
      <c r="I94" s="442"/>
      <c r="J94" s="442"/>
      <c r="K94" s="442"/>
      <c r="L94" s="442"/>
      <c r="M94" s="442"/>
      <c r="N94" s="442"/>
      <c r="O94" s="444" t="s">
        <v>277</v>
      </c>
      <c r="P94" s="445">
        <v>0.5</v>
      </c>
      <c r="Q94" s="442"/>
      <c r="R94" s="442"/>
      <c r="S94" s="442"/>
      <c r="T94" s="442"/>
      <c r="U94" s="442"/>
      <c r="V94" s="442"/>
      <c r="W94" s="442"/>
      <c r="X94" s="446"/>
      <c r="Y94" s="446"/>
      <c r="Z94" s="446"/>
      <c r="AA94" s="447"/>
      <c r="AB94" s="447"/>
      <c r="AC94" s="448" t="s">
        <v>277</v>
      </c>
      <c r="AD94" s="461">
        <v>0.5</v>
      </c>
      <c r="AE94" s="447"/>
      <c r="AF94" s="447"/>
      <c r="AG94" s="448" t="s">
        <v>277</v>
      </c>
      <c r="AH94" s="461">
        <v>0.5</v>
      </c>
      <c r="AI94" s="447"/>
      <c r="AJ94" s="447"/>
    </row>
    <row r="95" spans="1:36" ht="15">
      <c r="A95" s="437">
        <v>92</v>
      </c>
      <c r="B95" s="438" t="s">
        <v>220</v>
      </c>
      <c r="C95" s="73"/>
      <c r="D95" s="442"/>
      <c r="E95" s="426"/>
      <c r="F95" s="442"/>
      <c r="G95" s="442"/>
      <c r="H95" s="442"/>
      <c r="I95" s="442"/>
      <c r="J95" s="442"/>
      <c r="K95" s="442"/>
      <c r="L95" s="442"/>
      <c r="M95" s="442"/>
      <c r="N95" s="442"/>
      <c r="O95" s="442"/>
      <c r="P95" s="445"/>
      <c r="Q95" s="442" t="s">
        <v>277</v>
      </c>
      <c r="R95" s="442">
        <v>1</v>
      </c>
      <c r="S95" s="442"/>
      <c r="T95" s="442"/>
      <c r="U95" s="442"/>
      <c r="V95" s="442"/>
      <c r="W95" s="442"/>
      <c r="X95" s="446"/>
      <c r="Y95" s="446"/>
      <c r="Z95" s="446"/>
      <c r="AA95" s="447"/>
      <c r="AB95" s="447"/>
      <c r="AC95" s="447" t="s">
        <v>277</v>
      </c>
      <c r="AD95" s="461">
        <v>1</v>
      </c>
      <c r="AE95" s="447"/>
      <c r="AF95" s="447"/>
      <c r="AG95" s="447" t="s">
        <v>277</v>
      </c>
      <c r="AH95" s="461">
        <v>1</v>
      </c>
      <c r="AI95" s="447"/>
      <c r="AJ95" s="447"/>
    </row>
    <row r="96" spans="1:36" ht="15">
      <c r="A96" s="437">
        <v>93</v>
      </c>
      <c r="B96" s="438" t="s">
        <v>108</v>
      </c>
      <c r="C96" s="73"/>
      <c r="D96" s="442"/>
      <c r="E96" s="426"/>
      <c r="F96" s="442"/>
      <c r="G96" s="442"/>
      <c r="H96" s="442"/>
      <c r="I96" s="442"/>
      <c r="J96" s="442"/>
      <c r="K96" s="442"/>
      <c r="L96" s="442"/>
      <c r="M96" s="442"/>
      <c r="N96" s="442"/>
      <c r="O96" s="444" t="s">
        <v>277</v>
      </c>
      <c r="P96" s="445">
        <v>0.5</v>
      </c>
      <c r="Q96" s="442"/>
      <c r="R96" s="442"/>
      <c r="S96" s="442"/>
      <c r="T96" s="442"/>
      <c r="U96" s="442"/>
      <c r="V96" s="442"/>
      <c r="W96" s="442"/>
      <c r="X96" s="446"/>
      <c r="Y96" s="446"/>
      <c r="Z96" s="446"/>
      <c r="AA96" s="447"/>
      <c r="AB96" s="447"/>
      <c r="AC96" s="448" t="s">
        <v>277</v>
      </c>
      <c r="AD96" s="461">
        <v>0.5</v>
      </c>
      <c r="AE96" s="447"/>
      <c r="AF96" s="447"/>
      <c r="AG96" s="448" t="s">
        <v>277</v>
      </c>
      <c r="AH96" s="461">
        <v>0.5</v>
      </c>
      <c r="AI96" s="447"/>
      <c r="AJ96" s="447"/>
    </row>
    <row r="97" spans="1:36" ht="15">
      <c r="A97" s="437">
        <v>94</v>
      </c>
      <c r="B97" s="438" t="s">
        <v>109</v>
      </c>
      <c r="C97" s="73"/>
      <c r="D97" s="442"/>
      <c r="E97" s="426"/>
      <c r="F97" s="442"/>
      <c r="G97" s="442"/>
      <c r="H97" s="442"/>
      <c r="I97" s="442"/>
      <c r="J97" s="442"/>
      <c r="K97" s="442"/>
      <c r="L97" s="442"/>
      <c r="M97" s="442"/>
      <c r="N97" s="442"/>
      <c r="O97" s="444" t="s">
        <v>277</v>
      </c>
      <c r="P97" s="445">
        <v>0.5</v>
      </c>
      <c r="Q97" s="442"/>
      <c r="R97" s="442"/>
      <c r="S97" s="442"/>
      <c r="T97" s="442"/>
      <c r="U97" s="442"/>
      <c r="V97" s="442"/>
      <c r="W97" s="442"/>
      <c r="X97" s="446"/>
      <c r="Y97" s="446"/>
      <c r="Z97" s="446"/>
      <c r="AA97" s="447"/>
      <c r="AB97" s="447"/>
      <c r="AC97" s="448" t="s">
        <v>277</v>
      </c>
      <c r="AD97" s="461">
        <v>0.5</v>
      </c>
      <c r="AE97" s="447"/>
      <c r="AF97" s="447"/>
      <c r="AG97" s="448" t="s">
        <v>277</v>
      </c>
      <c r="AH97" s="461">
        <v>0.5</v>
      </c>
      <c r="AI97" s="447"/>
      <c r="AJ97" s="447"/>
    </row>
    <row r="98" spans="1:36" ht="15">
      <c r="A98" s="437">
        <v>95</v>
      </c>
      <c r="B98" s="438" t="s">
        <v>110</v>
      </c>
      <c r="C98" s="73"/>
      <c r="D98" s="442"/>
      <c r="E98" s="426"/>
      <c r="F98" s="442"/>
      <c r="G98" s="442"/>
      <c r="H98" s="442"/>
      <c r="I98" s="442"/>
      <c r="J98" s="442"/>
      <c r="K98" s="442"/>
      <c r="L98" s="442"/>
      <c r="M98" s="442"/>
      <c r="N98" s="442"/>
      <c r="O98" s="444" t="s">
        <v>277</v>
      </c>
      <c r="P98" s="445">
        <v>0.5</v>
      </c>
      <c r="Q98" s="442"/>
      <c r="R98" s="442"/>
      <c r="S98" s="442"/>
      <c r="T98" s="442"/>
      <c r="U98" s="442"/>
      <c r="V98" s="442"/>
      <c r="W98" s="442"/>
      <c r="X98" s="446"/>
      <c r="Y98" s="446"/>
      <c r="Z98" s="446"/>
      <c r="AA98" s="447"/>
      <c r="AB98" s="447"/>
      <c r="AC98" s="448" t="s">
        <v>277</v>
      </c>
      <c r="AD98" s="461">
        <v>0.5</v>
      </c>
      <c r="AE98" s="447"/>
      <c r="AF98" s="447"/>
      <c r="AG98" s="448" t="s">
        <v>277</v>
      </c>
      <c r="AH98" s="461">
        <v>0.5</v>
      </c>
      <c r="AI98" s="447"/>
      <c r="AJ98" s="447"/>
    </row>
    <row r="99" spans="1:36" ht="15">
      <c r="A99" s="437">
        <v>96</v>
      </c>
      <c r="B99" s="438" t="s">
        <v>111</v>
      </c>
      <c r="C99" s="73"/>
      <c r="D99" s="442"/>
      <c r="E99" s="426"/>
      <c r="F99" s="442"/>
      <c r="G99" s="442"/>
      <c r="H99" s="442"/>
      <c r="I99" s="442"/>
      <c r="J99" s="442"/>
      <c r="K99" s="442"/>
      <c r="L99" s="442"/>
      <c r="M99" s="442"/>
      <c r="N99" s="442"/>
      <c r="O99" s="444" t="s">
        <v>277</v>
      </c>
      <c r="P99" s="445">
        <v>0.5</v>
      </c>
      <c r="Q99" s="442"/>
      <c r="R99" s="442"/>
      <c r="S99" s="442"/>
      <c r="T99" s="442"/>
      <c r="U99" s="442"/>
      <c r="V99" s="442"/>
      <c r="W99" s="442"/>
      <c r="X99" s="446"/>
      <c r="Y99" s="446"/>
      <c r="Z99" s="446"/>
      <c r="AA99" s="447"/>
      <c r="AB99" s="447"/>
      <c r="AC99" s="448" t="s">
        <v>277</v>
      </c>
      <c r="AD99" s="461">
        <v>0.5</v>
      </c>
      <c r="AE99" s="447"/>
      <c r="AF99" s="447"/>
      <c r="AG99" s="448" t="s">
        <v>277</v>
      </c>
      <c r="AH99" s="461">
        <v>0.5</v>
      </c>
      <c r="AI99" s="447"/>
      <c r="AJ99" s="447"/>
    </row>
    <row r="100" spans="1:36" ht="15">
      <c r="A100" s="437">
        <v>97</v>
      </c>
      <c r="B100" s="438" t="s">
        <v>112</v>
      </c>
      <c r="C100" s="73"/>
      <c r="D100" s="442"/>
      <c r="E100" s="426"/>
      <c r="F100" s="442"/>
      <c r="G100" s="442"/>
      <c r="H100" s="442"/>
      <c r="I100" s="442"/>
      <c r="J100" s="442"/>
      <c r="K100" s="442"/>
      <c r="L100" s="442"/>
      <c r="M100" s="442"/>
      <c r="N100" s="442"/>
      <c r="O100" s="444" t="s">
        <v>277</v>
      </c>
      <c r="P100" s="445">
        <v>1</v>
      </c>
      <c r="Q100" s="442"/>
      <c r="R100" s="442"/>
      <c r="S100" s="442"/>
      <c r="T100" s="442"/>
      <c r="U100" s="442"/>
      <c r="V100" s="442"/>
      <c r="W100" s="442"/>
      <c r="X100" s="446"/>
      <c r="Y100" s="446"/>
      <c r="Z100" s="446"/>
      <c r="AA100" s="447"/>
      <c r="AB100" s="447"/>
      <c r="AC100" s="448" t="s">
        <v>277</v>
      </c>
      <c r="AD100" s="461">
        <v>1</v>
      </c>
      <c r="AE100" s="447"/>
      <c r="AF100" s="447"/>
      <c r="AG100" s="448" t="s">
        <v>277</v>
      </c>
      <c r="AH100" s="461">
        <v>1</v>
      </c>
      <c r="AI100" s="447"/>
      <c r="AJ100" s="447"/>
    </row>
    <row r="101" spans="1:36" ht="15">
      <c r="A101" s="437">
        <v>98</v>
      </c>
      <c r="B101" s="438" t="s">
        <v>113</v>
      </c>
      <c r="C101" s="73"/>
      <c r="D101" s="442"/>
      <c r="E101" s="426"/>
      <c r="F101" s="442"/>
      <c r="G101" s="442"/>
      <c r="H101" s="442"/>
      <c r="I101" s="442"/>
      <c r="J101" s="442"/>
      <c r="K101" s="442"/>
      <c r="L101" s="442"/>
      <c r="M101" s="442"/>
      <c r="N101" s="442"/>
      <c r="O101" s="444"/>
      <c r="P101" s="445"/>
      <c r="Q101" s="442" t="s">
        <v>277</v>
      </c>
      <c r="R101" s="442">
        <v>0.5</v>
      </c>
      <c r="S101" s="442"/>
      <c r="T101" s="442"/>
      <c r="U101" s="442"/>
      <c r="V101" s="442"/>
      <c r="W101" s="442"/>
      <c r="X101" s="446"/>
      <c r="Y101" s="446"/>
      <c r="Z101" s="446"/>
      <c r="AA101" s="447"/>
      <c r="AB101" s="447"/>
      <c r="AC101" s="447" t="s">
        <v>277</v>
      </c>
      <c r="AD101" s="447">
        <v>0.5</v>
      </c>
      <c r="AE101" s="447"/>
      <c r="AF101" s="447"/>
      <c r="AG101" s="447" t="s">
        <v>277</v>
      </c>
      <c r="AH101" s="447">
        <v>0.5</v>
      </c>
      <c r="AI101" s="447"/>
      <c r="AJ101" s="447"/>
    </row>
    <row r="102" spans="1:36" ht="15">
      <c r="A102" s="437">
        <v>99</v>
      </c>
      <c r="B102" s="438" t="s">
        <v>114</v>
      </c>
      <c r="C102" s="73"/>
      <c r="D102" s="442"/>
      <c r="E102" s="426"/>
      <c r="F102" s="442"/>
      <c r="G102" s="442"/>
      <c r="H102" s="442"/>
      <c r="I102" s="442"/>
      <c r="J102" s="442"/>
      <c r="K102" s="442"/>
      <c r="L102" s="442"/>
      <c r="M102" s="442"/>
      <c r="N102" s="442"/>
      <c r="O102" s="444"/>
      <c r="P102" s="445"/>
      <c r="Q102" s="442" t="s">
        <v>277</v>
      </c>
      <c r="R102" s="442">
        <v>1</v>
      </c>
      <c r="S102" s="442"/>
      <c r="T102" s="442"/>
      <c r="U102" s="442"/>
      <c r="V102" s="442"/>
      <c r="W102" s="442"/>
      <c r="X102" s="446"/>
      <c r="Y102" s="446"/>
      <c r="Z102" s="446"/>
      <c r="AA102" s="447"/>
      <c r="AB102" s="447"/>
      <c r="AC102" s="447" t="s">
        <v>277</v>
      </c>
      <c r="AD102" s="447">
        <v>1</v>
      </c>
      <c r="AE102" s="447"/>
      <c r="AF102" s="447"/>
      <c r="AG102" s="447" t="s">
        <v>277</v>
      </c>
      <c r="AH102" s="447">
        <v>1</v>
      </c>
      <c r="AI102" s="447"/>
      <c r="AJ102" s="447"/>
    </row>
    <row r="103" spans="1:36" ht="15">
      <c r="A103" s="437">
        <v>100</v>
      </c>
      <c r="B103" s="438" t="s">
        <v>115</v>
      </c>
      <c r="C103" s="73"/>
      <c r="D103" s="442"/>
      <c r="E103" s="426"/>
      <c r="F103" s="442"/>
      <c r="G103" s="442"/>
      <c r="H103" s="442"/>
      <c r="I103" s="442"/>
      <c r="J103" s="442"/>
      <c r="K103" s="442"/>
      <c r="L103" s="442"/>
      <c r="M103" s="442"/>
      <c r="N103" s="442"/>
      <c r="O103" s="444"/>
      <c r="P103" s="445"/>
      <c r="Q103" s="442" t="s">
        <v>277</v>
      </c>
      <c r="R103" s="442">
        <v>1</v>
      </c>
      <c r="S103" s="442"/>
      <c r="T103" s="442"/>
      <c r="U103" s="442"/>
      <c r="V103" s="442"/>
      <c r="W103" s="442"/>
      <c r="X103" s="446"/>
      <c r="Y103" s="446"/>
      <c r="Z103" s="446"/>
      <c r="AA103" s="447"/>
      <c r="AB103" s="447"/>
      <c r="AC103" s="447" t="s">
        <v>277</v>
      </c>
      <c r="AD103" s="447">
        <v>1</v>
      </c>
      <c r="AE103" s="447"/>
      <c r="AF103" s="447"/>
      <c r="AG103" s="447" t="s">
        <v>277</v>
      </c>
      <c r="AH103" s="447">
        <v>1</v>
      </c>
      <c r="AI103" s="447"/>
      <c r="AJ103" s="447"/>
    </row>
    <row r="104" spans="1:36" ht="15">
      <c r="A104" s="437">
        <v>101</v>
      </c>
      <c r="B104" s="438" t="s">
        <v>116</v>
      </c>
      <c r="C104" s="73"/>
      <c r="D104" s="442"/>
      <c r="E104" s="426"/>
      <c r="F104" s="442"/>
      <c r="G104" s="442"/>
      <c r="H104" s="442"/>
      <c r="I104" s="442"/>
      <c r="J104" s="442"/>
      <c r="K104" s="442"/>
      <c r="L104" s="442"/>
      <c r="M104" s="442"/>
      <c r="N104" s="442"/>
      <c r="O104" s="426" t="s">
        <v>277</v>
      </c>
      <c r="P104" s="445">
        <v>1</v>
      </c>
      <c r="Q104" s="442"/>
      <c r="R104" s="442"/>
      <c r="S104" s="442"/>
      <c r="T104" s="442"/>
      <c r="U104" s="442"/>
      <c r="V104" s="442"/>
      <c r="W104" s="442"/>
      <c r="X104" s="446"/>
      <c r="Y104" s="446"/>
      <c r="Z104" s="446"/>
      <c r="AA104" s="447"/>
      <c r="AB104" s="447"/>
      <c r="AC104" s="429" t="s">
        <v>277</v>
      </c>
      <c r="AD104" s="461">
        <v>1</v>
      </c>
      <c r="AE104" s="447"/>
      <c r="AF104" s="447"/>
      <c r="AG104" s="429" t="s">
        <v>277</v>
      </c>
      <c r="AH104" s="461">
        <v>1</v>
      </c>
      <c r="AI104" s="447"/>
      <c r="AJ104" s="447"/>
    </row>
    <row r="105" spans="1:36" ht="15">
      <c r="A105" s="437">
        <v>102</v>
      </c>
      <c r="B105" s="438" t="s">
        <v>117</v>
      </c>
      <c r="C105" s="73"/>
      <c r="D105" s="442"/>
      <c r="E105" s="426"/>
      <c r="F105" s="442"/>
      <c r="G105" s="442"/>
      <c r="H105" s="442"/>
      <c r="I105" s="442"/>
      <c r="J105" s="442"/>
      <c r="K105" s="442"/>
      <c r="L105" s="442"/>
      <c r="M105" s="442"/>
      <c r="N105" s="442"/>
      <c r="O105" s="426" t="s">
        <v>277</v>
      </c>
      <c r="P105" s="445">
        <v>0.002</v>
      </c>
      <c r="Q105" s="426" t="s">
        <v>277</v>
      </c>
      <c r="R105" s="445">
        <v>0.002</v>
      </c>
      <c r="S105" s="442"/>
      <c r="T105" s="442"/>
      <c r="U105" s="442"/>
      <c r="V105" s="442"/>
      <c r="W105" s="442"/>
      <c r="X105" s="446"/>
      <c r="Y105" s="446"/>
      <c r="Z105" s="446"/>
      <c r="AA105" s="447"/>
      <c r="AB105" s="447"/>
      <c r="AC105" s="429" t="s">
        <v>277</v>
      </c>
      <c r="AD105" s="461">
        <v>0.002</v>
      </c>
      <c r="AE105" s="447"/>
      <c r="AF105" s="447"/>
      <c r="AG105" s="447"/>
      <c r="AH105" s="447"/>
      <c r="AI105" s="447"/>
      <c r="AJ105" s="447"/>
    </row>
    <row r="106" spans="1:36" ht="15">
      <c r="A106" s="437">
        <v>103</v>
      </c>
      <c r="B106" s="438" t="s">
        <v>118</v>
      </c>
      <c r="C106" s="73"/>
      <c r="D106" s="442"/>
      <c r="E106" s="426"/>
      <c r="F106" s="442"/>
      <c r="G106" s="442"/>
      <c r="H106" s="442"/>
      <c r="I106" s="442"/>
      <c r="J106" s="442"/>
      <c r="K106" s="442"/>
      <c r="L106" s="442"/>
      <c r="M106" s="442"/>
      <c r="N106" s="442"/>
      <c r="O106" s="426" t="s">
        <v>277</v>
      </c>
      <c r="P106" s="445">
        <v>0.005</v>
      </c>
      <c r="Q106" s="426" t="s">
        <v>277</v>
      </c>
      <c r="R106" s="445">
        <v>0.005</v>
      </c>
      <c r="S106" s="442"/>
      <c r="T106" s="442"/>
      <c r="U106" s="442"/>
      <c r="V106" s="442"/>
      <c r="W106" s="442"/>
      <c r="X106" s="446"/>
      <c r="Y106" s="446"/>
      <c r="Z106" s="446"/>
      <c r="AA106" s="447"/>
      <c r="AB106" s="447"/>
      <c r="AC106" s="429" t="s">
        <v>277</v>
      </c>
      <c r="AD106" s="461">
        <v>0.005</v>
      </c>
      <c r="AE106" s="447"/>
      <c r="AF106" s="447"/>
      <c r="AG106" s="447"/>
      <c r="AH106" s="447"/>
      <c r="AI106" s="447"/>
      <c r="AJ106" s="447"/>
    </row>
    <row r="107" spans="1:36" ht="15">
      <c r="A107" s="437">
        <v>104</v>
      </c>
      <c r="B107" s="438" t="s">
        <v>119</v>
      </c>
      <c r="C107" s="73"/>
      <c r="D107" s="442"/>
      <c r="E107" s="426"/>
      <c r="F107" s="442"/>
      <c r="G107" s="442"/>
      <c r="H107" s="442"/>
      <c r="I107" s="442"/>
      <c r="J107" s="442"/>
      <c r="K107" s="442"/>
      <c r="L107" s="442"/>
      <c r="M107" s="442"/>
      <c r="N107" s="442"/>
      <c r="O107" s="426" t="s">
        <v>277</v>
      </c>
      <c r="P107" s="445">
        <v>0.002</v>
      </c>
      <c r="Q107" s="426" t="s">
        <v>277</v>
      </c>
      <c r="R107" s="445">
        <v>0.002</v>
      </c>
      <c r="S107" s="442"/>
      <c r="T107" s="442"/>
      <c r="U107" s="442"/>
      <c r="V107" s="442"/>
      <c r="W107" s="442"/>
      <c r="X107" s="446"/>
      <c r="Y107" s="446"/>
      <c r="Z107" s="446"/>
      <c r="AA107" s="447"/>
      <c r="AB107" s="447"/>
      <c r="AC107" s="429" t="s">
        <v>277</v>
      </c>
      <c r="AD107" s="461">
        <v>0.002</v>
      </c>
      <c r="AE107" s="447"/>
      <c r="AF107" s="447"/>
      <c r="AG107" s="447"/>
      <c r="AH107" s="447"/>
      <c r="AI107" s="447"/>
      <c r="AJ107" s="447"/>
    </row>
    <row r="108" spans="1:36" ht="15">
      <c r="A108" s="437">
        <v>105</v>
      </c>
      <c r="B108" s="438" t="s">
        <v>120</v>
      </c>
      <c r="C108" s="73"/>
      <c r="D108" s="442"/>
      <c r="E108" s="426"/>
      <c r="F108" s="442"/>
      <c r="G108" s="442"/>
      <c r="H108" s="442"/>
      <c r="I108" s="442"/>
      <c r="J108" s="442"/>
      <c r="K108" s="442"/>
      <c r="L108" s="442"/>
      <c r="M108" s="442"/>
      <c r="N108" s="442"/>
      <c r="O108" s="426" t="s">
        <v>277</v>
      </c>
      <c r="P108" s="445">
        <v>0.005</v>
      </c>
      <c r="Q108" s="426" t="s">
        <v>277</v>
      </c>
      <c r="R108" s="445">
        <v>0.005</v>
      </c>
      <c r="S108" s="442"/>
      <c r="T108" s="442"/>
      <c r="U108" s="442"/>
      <c r="V108" s="442"/>
      <c r="W108" s="442"/>
      <c r="X108" s="446"/>
      <c r="Y108" s="446"/>
      <c r="Z108" s="446"/>
      <c r="AA108" s="447"/>
      <c r="AB108" s="447"/>
      <c r="AC108" s="429" t="s">
        <v>277</v>
      </c>
      <c r="AD108" s="461">
        <v>0.005</v>
      </c>
      <c r="AE108" s="447"/>
      <c r="AF108" s="447"/>
      <c r="AG108" s="447"/>
      <c r="AH108" s="447"/>
      <c r="AI108" s="447"/>
      <c r="AJ108" s="447"/>
    </row>
    <row r="109" spans="1:36" ht="15">
      <c r="A109" s="437">
        <v>106</v>
      </c>
      <c r="B109" s="438" t="s">
        <v>121</v>
      </c>
      <c r="C109" s="73"/>
      <c r="D109" s="442"/>
      <c r="E109" s="426"/>
      <c r="F109" s="442"/>
      <c r="G109" s="442"/>
      <c r="H109" s="442"/>
      <c r="I109" s="442"/>
      <c r="J109" s="442"/>
      <c r="K109" s="442"/>
      <c r="L109" s="442"/>
      <c r="M109" s="442"/>
      <c r="N109" s="442"/>
      <c r="O109" s="426" t="s">
        <v>277</v>
      </c>
      <c r="P109" s="445">
        <v>0.002</v>
      </c>
      <c r="Q109" s="426" t="s">
        <v>277</v>
      </c>
      <c r="R109" s="445">
        <v>0.002</v>
      </c>
      <c r="S109" s="442"/>
      <c r="T109" s="442"/>
      <c r="U109" s="442"/>
      <c r="V109" s="442"/>
      <c r="W109" s="442"/>
      <c r="X109" s="446"/>
      <c r="Y109" s="446"/>
      <c r="Z109" s="446"/>
      <c r="AA109" s="447"/>
      <c r="AB109" s="447"/>
      <c r="AC109" s="429" t="s">
        <v>277</v>
      </c>
      <c r="AD109" s="461">
        <v>0.002</v>
      </c>
      <c r="AE109" s="447"/>
      <c r="AF109" s="447"/>
      <c r="AG109" s="447"/>
      <c r="AH109" s="447"/>
      <c r="AI109" s="447"/>
      <c r="AJ109" s="447"/>
    </row>
    <row r="110" spans="1:36" ht="15">
      <c r="A110" s="437">
        <v>107</v>
      </c>
      <c r="B110" s="438" t="s">
        <v>222</v>
      </c>
      <c r="C110" s="73"/>
      <c r="D110" s="442"/>
      <c r="E110" s="426"/>
      <c r="F110" s="442"/>
      <c r="G110" s="442"/>
      <c r="H110" s="442"/>
      <c r="I110" s="442"/>
      <c r="J110" s="442"/>
      <c r="K110" s="442"/>
      <c r="L110" s="442"/>
      <c r="M110" s="442"/>
      <c r="N110" s="442"/>
      <c r="O110" s="426" t="s">
        <v>277</v>
      </c>
      <c r="P110" s="445">
        <v>0.01</v>
      </c>
      <c r="Q110" s="426" t="s">
        <v>277</v>
      </c>
      <c r="R110" s="445">
        <v>0.01</v>
      </c>
      <c r="S110" s="442"/>
      <c r="T110" s="442"/>
      <c r="U110" s="442"/>
      <c r="V110" s="442"/>
      <c r="W110" s="442"/>
      <c r="X110" s="446"/>
      <c r="Y110" s="446"/>
      <c r="Z110" s="446"/>
      <c r="AA110" s="447"/>
      <c r="AB110" s="447"/>
      <c r="AC110" s="429" t="s">
        <v>277</v>
      </c>
      <c r="AD110" s="461">
        <v>0.01</v>
      </c>
      <c r="AE110" s="447"/>
      <c r="AF110" s="447"/>
      <c r="AG110" s="447"/>
      <c r="AH110" s="447"/>
      <c r="AI110" s="447"/>
      <c r="AJ110" s="447"/>
    </row>
    <row r="111" spans="1:36" ht="15">
      <c r="A111" s="437">
        <v>108</v>
      </c>
      <c r="B111" s="438" t="s">
        <v>223</v>
      </c>
      <c r="C111" s="73"/>
      <c r="D111" s="442"/>
      <c r="E111" s="426"/>
      <c r="F111" s="442"/>
      <c r="G111" s="442"/>
      <c r="H111" s="442"/>
      <c r="I111" s="442"/>
      <c r="J111" s="442"/>
      <c r="K111" s="442"/>
      <c r="L111" s="442"/>
      <c r="M111" s="442"/>
      <c r="N111" s="442"/>
      <c r="O111" s="426" t="s">
        <v>277</v>
      </c>
      <c r="P111" s="445">
        <v>0.005</v>
      </c>
      <c r="Q111" s="426" t="s">
        <v>277</v>
      </c>
      <c r="R111" s="445">
        <v>0.005</v>
      </c>
      <c r="S111" s="442"/>
      <c r="T111" s="442"/>
      <c r="U111" s="442"/>
      <c r="V111" s="442"/>
      <c r="W111" s="442"/>
      <c r="X111" s="446"/>
      <c r="Y111" s="446"/>
      <c r="Z111" s="446"/>
      <c r="AA111" s="447"/>
      <c r="AB111" s="447"/>
      <c r="AC111" s="429" t="s">
        <v>277</v>
      </c>
      <c r="AD111" s="461">
        <v>0.005</v>
      </c>
      <c r="AE111" s="447"/>
      <c r="AF111" s="447"/>
      <c r="AG111" s="447"/>
      <c r="AH111" s="447"/>
      <c r="AI111" s="447"/>
      <c r="AJ111" s="447"/>
    </row>
    <row r="112" spans="1:36" ht="15">
      <c r="A112" s="437">
        <v>109</v>
      </c>
      <c r="B112" s="438" t="s">
        <v>224</v>
      </c>
      <c r="C112" s="73"/>
      <c r="D112" s="442"/>
      <c r="E112" s="426"/>
      <c r="F112" s="442"/>
      <c r="G112" s="442"/>
      <c r="H112" s="442"/>
      <c r="I112" s="442"/>
      <c r="J112" s="442"/>
      <c r="K112" s="442"/>
      <c r="L112" s="442"/>
      <c r="M112" s="442"/>
      <c r="N112" s="442"/>
      <c r="O112" s="426" t="s">
        <v>277</v>
      </c>
      <c r="P112" s="445">
        <v>0.005</v>
      </c>
      <c r="Q112" s="426" t="s">
        <v>277</v>
      </c>
      <c r="R112" s="445">
        <v>0.005</v>
      </c>
      <c r="S112" s="442"/>
      <c r="T112" s="442"/>
      <c r="U112" s="442"/>
      <c r="V112" s="442"/>
      <c r="W112" s="442"/>
      <c r="X112" s="446"/>
      <c r="Y112" s="446"/>
      <c r="Z112" s="446"/>
      <c r="AA112" s="447"/>
      <c r="AB112" s="447"/>
      <c r="AC112" s="429" t="s">
        <v>277</v>
      </c>
      <c r="AD112" s="461">
        <v>0.005</v>
      </c>
      <c r="AE112" s="447"/>
      <c r="AF112" s="447"/>
      <c r="AG112" s="447"/>
      <c r="AH112" s="447"/>
      <c r="AI112" s="447"/>
      <c r="AJ112" s="447"/>
    </row>
    <row r="113" spans="1:36" ht="15">
      <c r="A113" s="437">
        <v>110</v>
      </c>
      <c r="B113" s="438" t="s">
        <v>225</v>
      </c>
      <c r="C113" s="73"/>
      <c r="D113" s="442"/>
      <c r="E113" s="426"/>
      <c r="F113" s="442"/>
      <c r="G113" s="442"/>
      <c r="H113" s="442"/>
      <c r="I113" s="442"/>
      <c r="J113" s="442"/>
      <c r="K113" s="442"/>
      <c r="L113" s="442"/>
      <c r="M113" s="442"/>
      <c r="N113" s="442"/>
      <c r="O113" s="426" t="s">
        <v>277</v>
      </c>
      <c r="P113" s="445">
        <v>0.01</v>
      </c>
      <c r="Q113" s="426" t="s">
        <v>277</v>
      </c>
      <c r="R113" s="445">
        <v>0.01</v>
      </c>
      <c r="S113" s="442"/>
      <c r="T113" s="442"/>
      <c r="U113" s="442"/>
      <c r="V113" s="442"/>
      <c r="W113" s="442"/>
      <c r="X113" s="446"/>
      <c r="Y113" s="446"/>
      <c r="Z113" s="446"/>
      <c r="AA113" s="447"/>
      <c r="AB113" s="447"/>
      <c r="AC113" s="429" t="s">
        <v>277</v>
      </c>
      <c r="AD113" s="461">
        <v>0.01</v>
      </c>
      <c r="AE113" s="447"/>
      <c r="AF113" s="447"/>
      <c r="AG113" s="447"/>
      <c r="AH113" s="447"/>
      <c r="AI113" s="447"/>
      <c r="AJ113" s="447"/>
    </row>
    <row r="114" spans="1:36" ht="15">
      <c r="A114" s="437">
        <v>111</v>
      </c>
      <c r="B114" s="438" t="s">
        <v>226</v>
      </c>
      <c r="C114" s="73"/>
      <c r="D114" s="442"/>
      <c r="E114" s="426"/>
      <c r="F114" s="442"/>
      <c r="G114" s="442"/>
      <c r="H114" s="442"/>
      <c r="I114" s="442"/>
      <c r="J114" s="442"/>
      <c r="K114" s="442"/>
      <c r="L114" s="442"/>
      <c r="M114" s="442"/>
      <c r="N114" s="442"/>
      <c r="O114" s="426" t="s">
        <v>277</v>
      </c>
      <c r="P114" s="445">
        <v>0.005</v>
      </c>
      <c r="Q114" s="426" t="s">
        <v>277</v>
      </c>
      <c r="R114" s="445">
        <v>0.005</v>
      </c>
      <c r="S114" s="442"/>
      <c r="T114" s="442"/>
      <c r="U114" s="442"/>
      <c r="V114" s="442"/>
      <c r="W114" s="442"/>
      <c r="X114" s="446"/>
      <c r="Y114" s="446"/>
      <c r="Z114" s="446"/>
      <c r="AA114" s="447"/>
      <c r="AB114" s="447"/>
      <c r="AC114" s="429" t="s">
        <v>277</v>
      </c>
      <c r="AD114" s="461">
        <v>0.005</v>
      </c>
      <c r="AE114" s="447"/>
      <c r="AF114" s="447"/>
      <c r="AG114" s="447"/>
      <c r="AH114" s="447"/>
      <c r="AI114" s="447"/>
      <c r="AJ114" s="447"/>
    </row>
    <row r="115" spans="1:36" ht="15">
      <c r="A115" s="437">
        <v>112</v>
      </c>
      <c r="B115" s="438" t="s">
        <v>127</v>
      </c>
      <c r="C115" s="73"/>
      <c r="D115" s="442"/>
      <c r="E115" s="426"/>
      <c r="F115" s="442"/>
      <c r="G115" s="442"/>
      <c r="H115" s="442"/>
      <c r="I115" s="442"/>
      <c r="J115" s="442"/>
      <c r="K115" s="442"/>
      <c r="L115" s="442"/>
      <c r="M115" s="442"/>
      <c r="N115" s="442"/>
      <c r="O115" s="426" t="s">
        <v>277</v>
      </c>
      <c r="P115" s="445">
        <v>0.005</v>
      </c>
      <c r="Q115" s="426" t="s">
        <v>277</v>
      </c>
      <c r="R115" s="445">
        <v>0.005</v>
      </c>
      <c r="S115" s="442"/>
      <c r="T115" s="442"/>
      <c r="U115" s="442"/>
      <c r="V115" s="442"/>
      <c r="W115" s="442"/>
      <c r="X115" s="446"/>
      <c r="Y115" s="446"/>
      <c r="Z115" s="446"/>
      <c r="AA115" s="447"/>
      <c r="AB115" s="447"/>
      <c r="AC115" s="429" t="s">
        <v>277</v>
      </c>
      <c r="AD115" s="461">
        <v>0.005</v>
      </c>
      <c r="AE115" s="447"/>
      <c r="AF115" s="447"/>
      <c r="AG115" s="447"/>
      <c r="AH115" s="447"/>
      <c r="AI115" s="447"/>
      <c r="AJ115" s="447"/>
    </row>
    <row r="116" spans="1:36" ht="15.75">
      <c r="A116" s="437">
        <v>113</v>
      </c>
      <c r="B116" s="438" t="s">
        <v>227</v>
      </c>
      <c r="C116" s="73"/>
      <c r="D116" s="442"/>
      <c r="E116" s="426"/>
      <c r="F116" s="442"/>
      <c r="G116" s="442"/>
      <c r="H116" s="442"/>
      <c r="I116" s="442"/>
      <c r="J116" s="442"/>
      <c r="K116" s="442"/>
      <c r="L116" s="442"/>
      <c r="M116" s="442"/>
      <c r="N116" s="442"/>
      <c r="O116" s="474" t="s">
        <v>277</v>
      </c>
      <c r="P116" s="445">
        <v>0.005</v>
      </c>
      <c r="Q116" s="474" t="s">
        <v>277</v>
      </c>
      <c r="R116" s="445">
        <v>0.005</v>
      </c>
      <c r="S116" s="442"/>
      <c r="T116" s="442"/>
      <c r="U116" s="442"/>
      <c r="V116" s="442"/>
      <c r="W116" s="442"/>
      <c r="X116" s="446"/>
      <c r="Y116" s="446"/>
      <c r="Z116" s="446"/>
      <c r="AA116" s="447"/>
      <c r="AB116" s="447"/>
      <c r="AC116" s="477" t="s">
        <v>277</v>
      </c>
      <c r="AD116" s="461">
        <v>0.005</v>
      </c>
      <c r="AE116" s="447"/>
      <c r="AF116" s="447"/>
      <c r="AG116" s="447"/>
      <c r="AH116" s="447"/>
      <c r="AI116" s="447"/>
      <c r="AJ116" s="447"/>
    </row>
    <row r="117" spans="1:36" ht="15.75">
      <c r="A117" s="437">
        <v>114</v>
      </c>
      <c r="B117" s="438" t="s">
        <v>129</v>
      </c>
      <c r="C117" s="73"/>
      <c r="D117" s="442"/>
      <c r="E117" s="426"/>
      <c r="F117" s="442"/>
      <c r="G117" s="442"/>
      <c r="H117" s="442"/>
      <c r="I117" s="442"/>
      <c r="J117" s="442"/>
      <c r="K117" s="442"/>
      <c r="L117" s="442"/>
      <c r="M117" s="442"/>
      <c r="N117" s="442"/>
      <c r="O117" s="474" t="s">
        <v>277</v>
      </c>
      <c r="P117" s="445">
        <v>0.01</v>
      </c>
      <c r="Q117" s="474" t="s">
        <v>277</v>
      </c>
      <c r="R117" s="445">
        <v>0.01</v>
      </c>
      <c r="S117" s="442"/>
      <c r="T117" s="442"/>
      <c r="U117" s="442"/>
      <c r="V117" s="442"/>
      <c r="W117" s="442"/>
      <c r="X117" s="446"/>
      <c r="Y117" s="446"/>
      <c r="Z117" s="446"/>
      <c r="AA117" s="447"/>
      <c r="AB117" s="447"/>
      <c r="AC117" s="477" t="s">
        <v>277</v>
      </c>
      <c r="AD117" s="461">
        <v>0.01</v>
      </c>
      <c r="AE117" s="447"/>
      <c r="AF117" s="447"/>
      <c r="AG117" s="447"/>
      <c r="AH117" s="447"/>
      <c r="AI117" s="447"/>
      <c r="AJ117" s="447"/>
    </row>
    <row r="118" spans="1:36" ht="15">
      <c r="A118" s="437">
        <v>115</v>
      </c>
      <c r="B118" s="438" t="s">
        <v>130</v>
      </c>
      <c r="C118" s="73"/>
      <c r="D118" s="442"/>
      <c r="E118" s="426"/>
      <c r="F118" s="442"/>
      <c r="G118" s="442"/>
      <c r="H118" s="442"/>
      <c r="I118" s="442"/>
      <c r="J118" s="442"/>
      <c r="K118" s="442"/>
      <c r="L118" s="442"/>
      <c r="M118" s="442"/>
      <c r="N118" s="442"/>
      <c r="O118" s="442" t="s">
        <v>277</v>
      </c>
      <c r="P118" s="445">
        <v>0.005</v>
      </c>
      <c r="Q118" s="442" t="s">
        <v>277</v>
      </c>
      <c r="R118" s="445">
        <v>0.005</v>
      </c>
      <c r="S118" s="442"/>
      <c r="T118" s="442"/>
      <c r="U118" s="442"/>
      <c r="V118" s="442"/>
      <c r="W118" s="442"/>
      <c r="X118" s="446"/>
      <c r="Y118" s="446"/>
      <c r="Z118" s="446"/>
      <c r="AA118" s="447"/>
      <c r="AB118" s="447"/>
      <c r="AC118" s="447" t="s">
        <v>277</v>
      </c>
      <c r="AD118" s="461">
        <v>0.005</v>
      </c>
      <c r="AE118" s="447"/>
      <c r="AF118" s="447"/>
      <c r="AG118" s="447"/>
      <c r="AH118" s="447"/>
      <c r="AI118" s="447"/>
      <c r="AJ118" s="447"/>
    </row>
    <row r="119" spans="1:36" ht="15">
      <c r="A119" s="437">
        <v>116</v>
      </c>
      <c r="B119" s="438" t="s">
        <v>131</v>
      </c>
      <c r="C119" s="73"/>
      <c r="D119" s="442"/>
      <c r="E119" s="426"/>
      <c r="F119" s="442"/>
      <c r="G119" s="442"/>
      <c r="H119" s="442"/>
      <c r="I119" s="442"/>
      <c r="J119" s="442"/>
      <c r="K119" s="442"/>
      <c r="L119" s="442"/>
      <c r="M119" s="442"/>
      <c r="N119" s="442"/>
      <c r="O119" s="442" t="s">
        <v>277</v>
      </c>
      <c r="P119" s="445">
        <v>0.005</v>
      </c>
      <c r="Q119" s="442" t="s">
        <v>277</v>
      </c>
      <c r="R119" s="445">
        <v>0.005</v>
      </c>
      <c r="S119" s="442"/>
      <c r="T119" s="442"/>
      <c r="U119" s="442"/>
      <c r="V119" s="442"/>
      <c r="W119" s="442"/>
      <c r="X119" s="446"/>
      <c r="Y119" s="446"/>
      <c r="Z119" s="446"/>
      <c r="AA119" s="447"/>
      <c r="AB119" s="447"/>
      <c r="AC119" s="447" t="s">
        <v>277</v>
      </c>
      <c r="AD119" s="461">
        <v>0.005</v>
      </c>
      <c r="AE119" s="447"/>
      <c r="AF119" s="447"/>
      <c r="AG119" s="447"/>
      <c r="AH119" s="447"/>
      <c r="AI119" s="447"/>
      <c r="AJ119" s="447"/>
    </row>
    <row r="120" spans="1:36" ht="15">
      <c r="A120" s="437">
        <v>117</v>
      </c>
      <c r="B120" s="438" t="s">
        <v>132</v>
      </c>
      <c r="C120" s="73"/>
      <c r="D120" s="442"/>
      <c r="E120" s="426"/>
      <c r="F120" s="442"/>
      <c r="G120" s="442"/>
      <c r="H120" s="442"/>
      <c r="I120" s="442"/>
      <c r="J120" s="442"/>
      <c r="K120" s="442"/>
      <c r="L120" s="442"/>
      <c r="M120" s="442"/>
      <c r="N120" s="442"/>
      <c r="O120" s="442" t="s">
        <v>277</v>
      </c>
      <c r="P120" s="445">
        <v>0.005</v>
      </c>
      <c r="Q120" s="442" t="s">
        <v>277</v>
      </c>
      <c r="R120" s="445">
        <v>0.005</v>
      </c>
      <c r="S120" s="442"/>
      <c r="T120" s="442"/>
      <c r="U120" s="442"/>
      <c r="V120" s="442"/>
      <c r="W120" s="442"/>
      <c r="X120" s="446"/>
      <c r="Y120" s="446"/>
      <c r="Z120" s="446"/>
      <c r="AA120" s="447"/>
      <c r="AB120" s="447"/>
      <c r="AC120" s="447" t="s">
        <v>277</v>
      </c>
      <c r="AD120" s="461">
        <v>0.005</v>
      </c>
      <c r="AE120" s="447"/>
      <c r="AF120" s="447"/>
      <c r="AG120" s="447"/>
      <c r="AH120" s="447"/>
      <c r="AI120" s="447"/>
      <c r="AJ120" s="447"/>
    </row>
    <row r="121" spans="1:36" ht="15">
      <c r="A121" s="437">
        <v>118</v>
      </c>
      <c r="B121" s="438" t="s">
        <v>228</v>
      </c>
      <c r="C121" s="73"/>
      <c r="D121" s="442"/>
      <c r="E121" s="426"/>
      <c r="F121" s="442"/>
      <c r="G121" s="442"/>
      <c r="H121" s="442"/>
      <c r="I121" s="442"/>
      <c r="J121" s="442"/>
      <c r="K121" s="442"/>
      <c r="L121" s="442"/>
      <c r="M121" s="442"/>
      <c r="N121" s="442"/>
      <c r="O121" s="442" t="s">
        <v>277</v>
      </c>
      <c r="P121" s="445">
        <v>0.005</v>
      </c>
      <c r="Q121" s="442" t="s">
        <v>277</v>
      </c>
      <c r="R121" s="445">
        <v>0.005</v>
      </c>
      <c r="S121" s="442"/>
      <c r="T121" s="442"/>
      <c r="U121" s="442"/>
      <c r="V121" s="442"/>
      <c r="W121" s="442"/>
      <c r="X121" s="446"/>
      <c r="Y121" s="446"/>
      <c r="Z121" s="446"/>
      <c r="AA121" s="447"/>
      <c r="AB121" s="447"/>
      <c r="AC121" s="447" t="s">
        <v>277</v>
      </c>
      <c r="AD121" s="461">
        <v>0.005</v>
      </c>
      <c r="AE121" s="447"/>
      <c r="AF121" s="447"/>
      <c r="AG121" s="447"/>
      <c r="AH121" s="447"/>
      <c r="AI121" s="447"/>
      <c r="AJ121" s="447"/>
    </row>
    <row r="122" spans="1:36" ht="30">
      <c r="A122" s="434" t="s">
        <v>301</v>
      </c>
      <c r="B122" s="438" t="s">
        <v>302</v>
      </c>
      <c r="C122" s="73"/>
      <c r="D122" s="442"/>
      <c r="E122" s="426"/>
      <c r="F122" s="442"/>
      <c r="G122" s="442"/>
      <c r="H122" s="442"/>
      <c r="I122" s="442"/>
      <c r="J122" s="442"/>
      <c r="K122" s="442"/>
      <c r="L122" s="442"/>
      <c r="M122" s="442"/>
      <c r="N122" s="442"/>
      <c r="O122" s="444" t="s">
        <v>277</v>
      </c>
      <c r="P122" s="445">
        <v>0.1</v>
      </c>
      <c r="Q122" s="444" t="s">
        <v>277</v>
      </c>
      <c r="R122" s="445">
        <v>0.1</v>
      </c>
      <c r="S122" s="442"/>
      <c r="T122" s="442"/>
      <c r="U122" s="442"/>
      <c r="V122" s="442"/>
      <c r="W122" s="442"/>
      <c r="X122" s="446"/>
      <c r="Y122" s="446"/>
      <c r="Z122" s="446"/>
      <c r="AA122" s="447"/>
      <c r="AB122" s="447"/>
      <c r="AC122" s="448" t="s">
        <v>277</v>
      </c>
      <c r="AD122" s="461">
        <v>0.1</v>
      </c>
      <c r="AE122" s="447"/>
      <c r="AF122" s="447"/>
      <c r="AG122" s="447"/>
      <c r="AH122" s="447"/>
      <c r="AI122" s="447"/>
      <c r="AJ122" s="447"/>
    </row>
    <row r="123" spans="1:36" ht="15">
      <c r="A123" s="440">
        <v>126</v>
      </c>
      <c r="B123" s="441" t="s">
        <v>134</v>
      </c>
      <c r="C123" s="73"/>
      <c r="D123" s="442"/>
      <c r="E123" s="426"/>
      <c r="F123" s="442"/>
      <c r="G123" s="442"/>
      <c r="H123" s="442"/>
      <c r="I123" s="442"/>
      <c r="J123" s="442"/>
      <c r="K123" s="442"/>
      <c r="L123" s="442"/>
      <c r="M123" s="442"/>
      <c r="N123" s="442"/>
      <c r="O123" s="442" t="s">
        <v>277</v>
      </c>
      <c r="P123" s="445">
        <v>0.1</v>
      </c>
      <c r="Q123" s="442" t="s">
        <v>277</v>
      </c>
      <c r="R123" s="445">
        <v>0.1</v>
      </c>
      <c r="S123" s="442"/>
      <c r="T123" s="442"/>
      <c r="U123" s="442"/>
      <c r="V123" s="442"/>
      <c r="W123" s="442"/>
      <c r="X123" s="446"/>
      <c r="Y123" s="446"/>
      <c r="Z123" s="446"/>
      <c r="AA123" s="447"/>
      <c r="AB123" s="447"/>
      <c r="AC123" s="447" t="s">
        <v>277</v>
      </c>
      <c r="AD123" s="461">
        <v>0.1</v>
      </c>
      <c r="AE123" s="447"/>
      <c r="AF123" s="447"/>
      <c r="AG123" s="447"/>
      <c r="AH123" s="447"/>
      <c r="AI123" s="447"/>
      <c r="AJ123" s="447"/>
    </row>
    <row r="124" spans="1:16" ht="12.75">
      <c r="A124" s="349"/>
      <c r="B124" s="350"/>
      <c r="O124" s="388"/>
      <c r="P124" s="387"/>
    </row>
    <row r="125" spans="1:36" ht="12.75">
      <c r="A125" s="349"/>
      <c r="B125" s="350" t="s">
        <v>307</v>
      </c>
      <c r="D125" s="386">
        <v>329</v>
      </c>
      <c r="G125" s="386" t="s">
        <v>277</v>
      </c>
      <c r="H125" s="386">
        <v>0.1</v>
      </c>
      <c r="L125" s="386">
        <v>39.4</v>
      </c>
      <c r="N125" s="386">
        <v>23.7</v>
      </c>
      <c r="O125" s="388"/>
      <c r="P125" s="387"/>
      <c r="T125" s="386">
        <v>170</v>
      </c>
      <c r="V125" s="386">
        <v>23.7</v>
      </c>
      <c r="AH125" s="384">
        <v>568</v>
      </c>
      <c r="AJ125" s="384">
        <v>1240</v>
      </c>
    </row>
    <row r="126" spans="1:34" ht="12.75">
      <c r="A126" s="349"/>
      <c r="B126" s="350" t="s">
        <v>188</v>
      </c>
      <c r="O126" s="388"/>
      <c r="P126" s="387"/>
      <c r="R126" s="387">
        <v>108</v>
      </c>
      <c r="AD126" s="385">
        <v>2710</v>
      </c>
      <c r="AH126" s="384">
        <v>671</v>
      </c>
    </row>
    <row r="127" spans="1:34" ht="12.75">
      <c r="A127" s="349"/>
      <c r="B127" s="350" t="s">
        <v>308</v>
      </c>
      <c r="O127" s="388"/>
      <c r="P127" s="387"/>
      <c r="AD127" s="385">
        <v>7.8</v>
      </c>
      <c r="AH127" s="384">
        <v>8.9</v>
      </c>
    </row>
    <row r="128" spans="1:16" ht="12.75">
      <c r="A128" s="349"/>
      <c r="B128" s="350"/>
      <c r="O128" s="388"/>
      <c r="P128" s="387"/>
    </row>
    <row r="129" spans="1:16" ht="12.75">
      <c r="A129" s="349"/>
      <c r="B129" s="350"/>
      <c r="O129" s="388"/>
      <c r="P129" s="387"/>
    </row>
    <row r="130" spans="1:16" ht="12.75">
      <c r="A130" s="349"/>
      <c r="B130" s="350"/>
      <c r="O130" s="388"/>
      <c r="P130" s="389"/>
    </row>
    <row r="131" spans="1:15" ht="12.75">
      <c r="A131" s="349"/>
      <c r="B131" s="350"/>
      <c r="O131" s="388"/>
    </row>
    <row r="132" spans="1:2" ht="12.75">
      <c r="A132" s="349"/>
      <c r="B132" s="350"/>
    </row>
    <row r="133" spans="1:2" ht="12.75">
      <c r="A133" s="349"/>
      <c r="B133" s="350"/>
    </row>
    <row r="134" spans="1:2" ht="12.75">
      <c r="A134" s="349"/>
      <c r="B134" s="350"/>
    </row>
    <row r="135" spans="1:2" ht="12.75">
      <c r="A135" s="349"/>
      <c r="B135" s="350"/>
    </row>
    <row r="136" spans="1:2" ht="12.75">
      <c r="A136" s="349"/>
      <c r="B136" s="350"/>
    </row>
    <row r="137" spans="1:2" ht="12.75">
      <c r="A137" s="349"/>
      <c r="B137" s="350"/>
    </row>
    <row r="138" spans="1:2" ht="12.75">
      <c r="A138" s="349"/>
      <c r="B138" s="350"/>
    </row>
    <row r="139" spans="1:2" ht="12.75">
      <c r="A139" s="349"/>
      <c r="B139" s="350"/>
    </row>
    <row r="140" spans="1:2" ht="12.75">
      <c r="A140" s="349"/>
      <c r="B140" s="350"/>
    </row>
    <row r="141" spans="1:2" ht="12.75">
      <c r="A141" s="349"/>
      <c r="B141" s="350"/>
    </row>
    <row r="142" spans="1:2" ht="12.75">
      <c r="A142" s="349"/>
      <c r="B142" s="350"/>
    </row>
    <row r="143" spans="1:2" ht="12.75">
      <c r="A143" s="349"/>
      <c r="B143" s="350"/>
    </row>
    <row r="144" spans="1:2" ht="12.75">
      <c r="A144" s="349"/>
      <c r="B144" s="350"/>
    </row>
    <row r="145" spans="1:2" ht="12.75">
      <c r="A145" s="349"/>
      <c r="B145" s="350"/>
    </row>
    <row r="146" spans="1:2" ht="12.75">
      <c r="A146" s="349"/>
      <c r="B146" s="350"/>
    </row>
    <row r="147" spans="1:2" ht="12.75">
      <c r="A147" s="349"/>
      <c r="B147" s="350"/>
    </row>
    <row r="148" spans="1:2" ht="12.75">
      <c r="A148" s="349"/>
      <c r="B148" s="350"/>
    </row>
    <row r="149" spans="1:2" ht="12.75">
      <c r="A149" s="349"/>
      <c r="B149" s="350"/>
    </row>
    <row r="150" spans="1:2" ht="12.75">
      <c r="A150" s="349"/>
      <c r="B150" s="350"/>
    </row>
    <row r="151" spans="1:2" ht="12.75">
      <c r="A151" s="349"/>
      <c r="B151" s="350"/>
    </row>
    <row r="152" spans="1:2" ht="12.75">
      <c r="A152" s="349"/>
      <c r="B152" s="350"/>
    </row>
    <row r="153" spans="1:2" ht="12.75">
      <c r="A153" s="349"/>
      <c r="B153" s="350"/>
    </row>
    <row r="154" spans="1:2" ht="12.75">
      <c r="A154" s="349"/>
      <c r="B154" s="350"/>
    </row>
    <row r="155" spans="1:2" ht="12.75">
      <c r="A155" s="349"/>
      <c r="B155" s="350"/>
    </row>
    <row r="156" spans="1:2" ht="12.75">
      <c r="A156" s="349"/>
      <c r="B156" s="350"/>
    </row>
    <row r="157" spans="1:2" ht="12.75">
      <c r="A157" s="349"/>
      <c r="B157" s="350"/>
    </row>
    <row r="158" spans="1:2" ht="12.75">
      <c r="A158" s="349"/>
      <c r="B158" s="350"/>
    </row>
    <row r="159" spans="1:2" ht="12.75">
      <c r="A159" s="349"/>
      <c r="B159" s="350"/>
    </row>
    <row r="160" spans="1:2" ht="12.75">
      <c r="A160" s="349"/>
      <c r="B160" s="350"/>
    </row>
    <row r="161" spans="1:2" ht="12.75">
      <c r="A161" s="349"/>
      <c r="B161" s="350"/>
    </row>
    <row r="162" spans="1:2" ht="12.75">
      <c r="A162" s="349"/>
      <c r="B162" s="350"/>
    </row>
    <row r="163" spans="1:2" ht="12.75">
      <c r="A163" s="349"/>
      <c r="B163" s="350"/>
    </row>
    <row r="164" spans="1:2" ht="12.75">
      <c r="A164" s="349"/>
      <c r="B164" s="350"/>
    </row>
    <row r="165" spans="1:2" ht="12.75">
      <c r="A165" s="349"/>
      <c r="B165" s="350"/>
    </row>
    <row r="166" spans="1:2" ht="12.75">
      <c r="A166" s="349"/>
      <c r="B166" s="350"/>
    </row>
    <row r="167" spans="1:2" ht="12.75">
      <c r="A167" s="348"/>
      <c r="B167" s="350"/>
    </row>
    <row r="168" spans="1:2" ht="12.75">
      <c r="A168" s="351"/>
      <c r="B168" s="352"/>
    </row>
  </sheetData>
  <mergeCells count="2">
    <mergeCell ref="D1:T1"/>
    <mergeCell ref="AA1:AJ1"/>
  </mergeCells>
  <printOptions/>
  <pageMargins left="0.75" right="0.75" top="1" bottom="1" header="0.5" footer="0.5"/>
  <pageSetup fitToHeight="2" fitToWidth="1" horizontalDpi="300" verticalDpi="300" orientation="landscape" scale="46" r:id="rId3"/>
  <headerFooter alignWithMargins="0">
    <oddHeader>&amp;C&amp;22Attachment 3.
Effluent Data&amp;R&amp;22Morton International, Inc.
Newark Facility
NPDES Permit 
</oddHeader>
    <oddFooter>&amp;C&amp;P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Tetra 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 Indra N. Mitra</dc:creator>
  <cp:keywords/>
  <dc:description/>
  <cp:lastModifiedBy>Daniel Leva</cp:lastModifiedBy>
  <cp:lastPrinted>2005-04-05T16:17:57Z</cp:lastPrinted>
  <dcterms:created xsi:type="dcterms:W3CDTF">2002-04-16T15:45:56Z</dcterms:created>
  <dcterms:modified xsi:type="dcterms:W3CDTF">2005-04-05T19:12:43Z</dcterms:modified>
  <cp:category/>
  <cp:version/>
  <cp:contentType/>
  <cp:contentStatus/>
</cp:coreProperties>
</file>