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265" windowHeight="9510" tabRatio="694" activeTab="0"/>
  </bookViews>
  <sheets>
    <sheet name="quadrat vs FS graphs" sheetId="1" r:id="rId1"/>
    <sheet name="Data +prelim graphs" sheetId="2" r:id="rId2"/>
    <sheet name="Taxa List+Contrasts" sheetId="3" r:id="rId3"/>
    <sheet name="Summary Analysis" sheetId="4" r:id="rId4"/>
    <sheet name="Quadrat invert data" sheetId="5" r:id="rId5"/>
    <sheet name="Physical habitat" sheetId="6" r:id="rId6"/>
  </sheets>
  <definedNames>
    <definedName name="_xlnm.Print_Area" localSheetId="1">'Data +prelim graphs'!$A$12:$D$168,'Data +prelim graphs'!$AH$12:$AH$168</definedName>
    <definedName name="_xlnm.Print_Area" localSheetId="2">'Taxa List+Contrasts'!$A$1:$P$142</definedName>
    <definedName name="_xlnm.Print_Titles" localSheetId="2">'Taxa List+Contrasts'!$1:$2</definedName>
  </definedNames>
  <calcPr fullCalcOnLoad="1"/>
</workbook>
</file>

<file path=xl/sharedStrings.xml><?xml version="1.0" encoding="utf-8"?>
<sst xmlns="http://schemas.openxmlformats.org/spreadsheetml/2006/main" count="3164" uniqueCount="574">
  <si>
    <t>Restoration baseline and longitudinal downstream changes in</t>
  </si>
  <si>
    <t>Phylum or Class</t>
  </si>
  <si>
    <t>Class or Order</t>
  </si>
  <si>
    <t>Family-Subfamily</t>
  </si>
  <si>
    <t>Genus (and species)</t>
  </si>
  <si>
    <t>TROUT CREEK RESTORATION</t>
  </si>
  <si>
    <t>1999-2000 Bioassessment Sampling</t>
  </si>
  <si>
    <t>pre-project channelized stream reach</t>
  </si>
  <si>
    <t>Insecta</t>
  </si>
  <si>
    <t>Ephemeroptera</t>
  </si>
  <si>
    <t>Baetidae</t>
  </si>
  <si>
    <t>Ephemerellidae</t>
  </si>
  <si>
    <t>Serratella sp.</t>
  </si>
  <si>
    <t>Drunella grandis</t>
  </si>
  <si>
    <t>Attenella delantala</t>
  </si>
  <si>
    <t>Site Code</t>
  </si>
  <si>
    <t>Substrate</t>
  </si>
  <si>
    <t>Date: 1 X 99</t>
  </si>
  <si>
    <t>Ameletus sp.</t>
  </si>
  <si>
    <t>Plecoptera</t>
  </si>
  <si>
    <t>Chloroperlidae</t>
  </si>
  <si>
    <t>Sweltsa sp.</t>
  </si>
  <si>
    <t>Trichoptera</t>
  </si>
  <si>
    <t>Brachycentridae</t>
  </si>
  <si>
    <t>Brachycentrus americanus</t>
  </si>
  <si>
    <t>Apataniidae</t>
  </si>
  <si>
    <t>Uenoidae</t>
  </si>
  <si>
    <t>Neophylax sp.</t>
  </si>
  <si>
    <t>Apatania sp.</t>
  </si>
  <si>
    <t>Pedomoecus sierra</t>
  </si>
  <si>
    <t>Diptera</t>
  </si>
  <si>
    <t>Tipulidae</t>
  </si>
  <si>
    <t>Hexatoma sp.</t>
  </si>
  <si>
    <t>Psychodidae</t>
  </si>
  <si>
    <t>Pericoma sp.</t>
  </si>
  <si>
    <t>Hesperoconopa sp.</t>
  </si>
  <si>
    <t>Capniidae</t>
  </si>
  <si>
    <t>Eucapnopsis brevicauda</t>
  </si>
  <si>
    <t>Coleoptera</t>
  </si>
  <si>
    <t>Elmidae</t>
  </si>
  <si>
    <t>Optioservus quadrimaculatus</t>
  </si>
  <si>
    <t>Arachnoidea</t>
  </si>
  <si>
    <t>Trombidiformes</t>
  </si>
  <si>
    <t>Chironomidae-Tanypodinae</t>
  </si>
  <si>
    <t>Chironomidae- Orthocladiinae</t>
  </si>
  <si>
    <t>Chironomidae- Chironomini</t>
  </si>
  <si>
    <t>Chironomidae- Tanytarsini</t>
  </si>
  <si>
    <t>Thienemannimyia sp.</t>
  </si>
  <si>
    <t>Micropsectra sp.</t>
  </si>
  <si>
    <t>Nanocladius sp.</t>
  </si>
  <si>
    <t>Heleniella sp.</t>
  </si>
  <si>
    <t>Cricotopus-Orthocladius spp.</t>
  </si>
  <si>
    <t>Heterotrissocladius marcidus grp.</t>
  </si>
  <si>
    <t>Lebertiidae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</si>
  <si>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</si>
  <si>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</si>
  <si>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</si>
  <si>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</si>
  <si>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</si>
  <si>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</si>
  <si>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</si>
  <si>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</si>
  <si>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</si>
  <si>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</si>
  <si>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Channelized or Downstream</t>
  </si>
  <si>
    <t>c</t>
  </si>
  <si>
    <t>d</t>
  </si>
  <si>
    <t>#sample kicks</t>
  </si>
  <si>
    <t>#sample splits</t>
  </si>
  <si>
    <t>S, sG</t>
  </si>
  <si>
    <t>S</t>
  </si>
  <si>
    <t>S, mG</t>
  </si>
  <si>
    <t>cS, sG</t>
  </si>
  <si>
    <t>Annelida-Oligochaeta</t>
  </si>
  <si>
    <t>undetermined</t>
  </si>
  <si>
    <t>undetermined oligochaete taxa</t>
  </si>
  <si>
    <t>Turbellaria</t>
  </si>
  <si>
    <t>Tricladida</t>
  </si>
  <si>
    <t>Planariidae</t>
  </si>
  <si>
    <t>Dugesia tigrina</t>
  </si>
  <si>
    <t>Heterlimnius corpulentus</t>
  </si>
  <si>
    <t>Empididae</t>
  </si>
  <si>
    <t>Chelifera sp.</t>
  </si>
  <si>
    <t>Mollusca</t>
  </si>
  <si>
    <t>Bivalvia</t>
  </si>
  <si>
    <t>Sphaeriidae</t>
  </si>
  <si>
    <t>Pisidium sp.</t>
  </si>
  <si>
    <t>Glossosomatidae</t>
  </si>
  <si>
    <t>Glossosoma sp.</t>
  </si>
  <si>
    <t>Rhyacophilidae</t>
  </si>
  <si>
    <t>Rhyacophila acropedes grp.</t>
  </si>
  <si>
    <t>Perlodidae</t>
  </si>
  <si>
    <t>Skwala sp.</t>
  </si>
  <si>
    <t>Heptageniidae</t>
  </si>
  <si>
    <t>Cinygmula sp.</t>
  </si>
  <si>
    <t>Rhithrogena sp.</t>
  </si>
  <si>
    <t>Dicranota sp.</t>
  </si>
  <si>
    <t>Tanyderidae</t>
  </si>
  <si>
    <t>Protanyderus sp.</t>
  </si>
  <si>
    <t>Lopescladius sp.</t>
  </si>
  <si>
    <t>SUM</t>
  </si>
  <si>
    <r>
      <t>DENSITY (no./m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using 30x30 cm net</t>
    </r>
  </si>
  <si>
    <t>BIOTIC INDEX</t>
  </si>
  <si>
    <t>EPT TAXA</t>
  </si>
  <si>
    <t>%CHIRONOMIDAE</t>
  </si>
  <si>
    <t>Tolerance</t>
  </si>
  <si>
    <t>Value</t>
  </si>
  <si>
    <t>Arthropoda-Crustacea</t>
  </si>
  <si>
    <t>Ostracoda</t>
  </si>
  <si>
    <t>undetermined ostracode taxa</t>
  </si>
  <si>
    <t>Hydraenidae</t>
  </si>
  <si>
    <t>Ochthebius cf. rectus</t>
  </si>
  <si>
    <t>Drunella doddsi</t>
  </si>
  <si>
    <t>Lebertia sp.</t>
  </si>
  <si>
    <t>Nemouridae</t>
  </si>
  <si>
    <t>Zapada sp.</t>
  </si>
  <si>
    <t>Peltoperlidae</t>
  </si>
  <si>
    <t>Yoraperla sp.</t>
  </si>
  <si>
    <t>Perlidae</t>
  </si>
  <si>
    <t>Calineuria californica</t>
  </si>
  <si>
    <t>Isoperla sp.</t>
  </si>
  <si>
    <t>Chironomidae- Diamesinae</t>
  </si>
  <si>
    <t>Pagastia sp.</t>
  </si>
  <si>
    <t>Corynoneura cf. lobata</t>
  </si>
  <si>
    <t>Tvetenia bavarica grp.</t>
  </si>
  <si>
    <t>Simuliidae</t>
  </si>
  <si>
    <t>Simulium sp.</t>
  </si>
  <si>
    <t>Caudatella hystrix</t>
  </si>
  <si>
    <t>Rhyacophila sibirica grp. cf. valuma</t>
  </si>
  <si>
    <t>Diamesa sp.</t>
  </si>
  <si>
    <t>Sperchonidae</t>
  </si>
  <si>
    <t>Sperchon sp.</t>
  </si>
  <si>
    <t>undetermined water mites</t>
  </si>
  <si>
    <t>Rhyacophila betteni grp.</t>
  </si>
  <si>
    <t>Rhyacophila vofixa</t>
  </si>
  <si>
    <t>Drunella spinifera</t>
  </si>
  <si>
    <t>Rheocricotopus sp.</t>
  </si>
  <si>
    <t>Ameletidae</t>
  </si>
  <si>
    <t>Thienemanniella cf. xena</t>
  </si>
  <si>
    <t>Torrenticola sp.</t>
  </si>
  <si>
    <t>si, S, sG</t>
  </si>
  <si>
    <t>Ametropodidae</t>
  </si>
  <si>
    <t>Ametropus sp.</t>
  </si>
  <si>
    <t>Chironomidae- Prodiamesinae</t>
  </si>
  <si>
    <t>Odontomesa sp.</t>
  </si>
  <si>
    <t>Hygrobatidae</t>
  </si>
  <si>
    <t>Hygrobates sp.</t>
  </si>
  <si>
    <t>silt-sand-sm.gravel</t>
  </si>
  <si>
    <t>sand-sm.gravel</t>
  </si>
  <si>
    <t>sand-med.gravel</t>
  </si>
  <si>
    <t>T8,9</t>
  </si>
  <si>
    <t>T1,5,6,7</t>
  </si>
  <si>
    <t>coarse sand-sm.gravel</t>
  </si>
  <si>
    <t>T3,4</t>
  </si>
  <si>
    <t>By substrate type:</t>
  </si>
  <si>
    <t>sand only</t>
  </si>
  <si>
    <t>T1-10</t>
  </si>
  <si>
    <t>T6-10</t>
  </si>
  <si>
    <t>T1-5</t>
  </si>
  <si>
    <t>mean</t>
  </si>
  <si>
    <t>Sd</t>
  </si>
  <si>
    <t>Richness by Reach:</t>
  </si>
  <si>
    <t>SUMS:</t>
  </si>
  <si>
    <t>richness</t>
  </si>
  <si>
    <t>SD</t>
  </si>
  <si>
    <t>% &gt;5 mm</t>
  </si>
  <si>
    <t>Date: 22 IX 00</t>
  </si>
  <si>
    <t>si, S</t>
  </si>
  <si>
    <t>Haploperla sp.</t>
  </si>
  <si>
    <t>Megaloptera</t>
  </si>
  <si>
    <t>Sialidae</t>
  </si>
  <si>
    <t>Sialis sp.</t>
  </si>
  <si>
    <t>Hydroptilidae</t>
  </si>
  <si>
    <t>Hydroptila sp.</t>
  </si>
  <si>
    <t>Micrasema sp.</t>
  </si>
  <si>
    <t>Lara avara</t>
  </si>
  <si>
    <t>Dytiscidae</t>
  </si>
  <si>
    <t>Oreodytes rivalis</t>
  </si>
  <si>
    <t>Ephemerella aurivilli</t>
  </si>
  <si>
    <t>Tanytarsus sp.</t>
  </si>
  <si>
    <t>Cladotanytarsus vanderwulpi grp.</t>
  </si>
  <si>
    <t>Chironomidae-Pseudochironomi</t>
  </si>
  <si>
    <t>Pseudochironomus sp.</t>
  </si>
  <si>
    <t>Aturidae</t>
  </si>
  <si>
    <t>Aturus sp.</t>
  </si>
  <si>
    <t>Oribatida</t>
  </si>
  <si>
    <t>Eremaeidae</t>
  </si>
  <si>
    <t>Hydrozetes sp.</t>
  </si>
  <si>
    <t>Stempellinella sp.</t>
  </si>
  <si>
    <t>Limnophyes sp.</t>
  </si>
  <si>
    <t>Paracladopelma sp.</t>
  </si>
  <si>
    <t>Leptophlebiidae</t>
  </si>
  <si>
    <t>Paraleptophlebia sp.</t>
  </si>
  <si>
    <t>si, S, W</t>
  </si>
  <si>
    <t>Substrate Types:</t>
  </si>
  <si>
    <t>si = silt</t>
  </si>
  <si>
    <t>S = sand</t>
  </si>
  <si>
    <t>sG = small gravel</t>
  </si>
  <si>
    <t>mG = medium gravel</t>
  </si>
  <si>
    <t>W = wood debris</t>
  </si>
  <si>
    <t>cS = coarse sand</t>
  </si>
  <si>
    <t>Ceratopogonidae</t>
  </si>
  <si>
    <t>Bezzia-Palpomyia sp.</t>
  </si>
  <si>
    <t>Centroptilum sp.</t>
  </si>
  <si>
    <t>Phryganeidae</t>
  </si>
  <si>
    <t>Yphria californica</t>
  </si>
  <si>
    <t>Rheotanytarsus sp.</t>
  </si>
  <si>
    <t>Eukiefferiella gracei grp.</t>
  </si>
  <si>
    <t>Parametriocnemus sp.</t>
  </si>
  <si>
    <t>Cricotopus (Nostococladius ) sp.</t>
  </si>
  <si>
    <t>Atractides sp.</t>
  </si>
  <si>
    <t>Rhyacophila arnaudi grp.</t>
  </si>
  <si>
    <t>Hydropsychidae</t>
  </si>
  <si>
    <t>Hydropsyche sp.</t>
  </si>
  <si>
    <t>Arctopsychidae</t>
  </si>
  <si>
    <t>Arctopsyche californica</t>
  </si>
  <si>
    <t>cS</t>
  </si>
  <si>
    <t>silt-sand-coarse sand (alone or mixed)</t>
  </si>
  <si>
    <t>sand and medium gravel</t>
  </si>
  <si>
    <t>Transect</t>
  </si>
  <si>
    <t>Year</t>
  </si>
  <si>
    <t>Richness</t>
  </si>
  <si>
    <t>EPT</t>
  </si>
  <si>
    <t>Total</t>
  </si>
  <si>
    <t>Code</t>
  </si>
  <si>
    <t>silt and/or sand and small gravel</t>
  </si>
  <si>
    <t>sand to coarse sand and small gravel</t>
  </si>
  <si>
    <t>Means by Substrate:</t>
  </si>
  <si>
    <t>Total Richness</t>
  </si>
  <si>
    <t>EPT Richness</t>
  </si>
  <si>
    <t>sd</t>
  </si>
  <si>
    <t>silt and sand</t>
  </si>
  <si>
    <t xml:space="preserve">     sand and         sm. gravel</t>
  </si>
  <si>
    <t xml:space="preserve">     sand and        med. gravel</t>
  </si>
  <si>
    <t>Chironomidae Diversity</t>
  </si>
  <si>
    <t>Chironomid Richness</t>
  </si>
  <si>
    <t>silt, sand, and    sm. gravel</t>
  </si>
  <si>
    <t>Chironomid</t>
  </si>
  <si>
    <t>Percent</t>
  </si>
  <si>
    <t>Size&gt;5mm</t>
  </si>
  <si>
    <t>Percent size &gt;5mm</t>
  </si>
  <si>
    <t>Density</t>
  </si>
  <si>
    <t>#/m2</t>
  </si>
  <si>
    <t>PERCENT</t>
  </si>
  <si>
    <t>Dominance</t>
  </si>
  <si>
    <t>Biotic</t>
  </si>
  <si>
    <t>Index</t>
  </si>
  <si>
    <t>Name</t>
  </si>
  <si>
    <t>Chironomidae</t>
  </si>
  <si>
    <t>Eukiefferiella brehmi grp.</t>
  </si>
  <si>
    <t>Torrenticolidae</t>
  </si>
  <si>
    <t>Post-Project Monitoring: Construction completed summer of 2001, monitoring resumed Sept. 2002</t>
  </si>
  <si>
    <t>upper #1</t>
  </si>
  <si>
    <t>upper #2</t>
  </si>
  <si>
    <t>upper #3</t>
  </si>
  <si>
    <t>upper #4</t>
  </si>
  <si>
    <t>upper #5</t>
  </si>
  <si>
    <t>lower #1</t>
  </si>
  <si>
    <t>lower #2</t>
  </si>
  <si>
    <t>lower #3</t>
  </si>
  <si>
    <t>lower #4</t>
  </si>
  <si>
    <t>lower #5</t>
  </si>
  <si>
    <t>above #1</t>
  </si>
  <si>
    <t>above #2</t>
  </si>
  <si>
    <t>above #3</t>
  </si>
  <si>
    <t>above #4</t>
  </si>
  <si>
    <t>above #5</t>
  </si>
  <si>
    <t>total taxa:</t>
  </si>
  <si>
    <t>Pre-project</t>
  </si>
  <si>
    <t>channelized, below, or above</t>
  </si>
  <si>
    <t>Kogotus nonus</t>
  </si>
  <si>
    <t>Separate Count of # &gt; 5 mm</t>
  </si>
  <si>
    <t>Frequency 5-10 mm</t>
  </si>
  <si>
    <t>Frequency 11-20 mm</t>
  </si>
  <si>
    <t>mG,sC</t>
  </si>
  <si>
    <t>a</t>
  </si>
  <si>
    <t>Baetis spp.</t>
  </si>
  <si>
    <t>Capniidae undetermined</t>
  </si>
  <si>
    <t>Ceratopsyche sp.</t>
  </si>
  <si>
    <t>Diphetor</t>
  </si>
  <si>
    <t>Synorthocladius sp.</t>
  </si>
  <si>
    <t>Paraphaenocladius sp.</t>
  </si>
  <si>
    <t>Eukiefferiella claripennis grp.</t>
  </si>
  <si>
    <t>Testudacarus sp.</t>
  </si>
  <si>
    <t>Pteronarcyidae</t>
  </si>
  <si>
    <t>Pteronarcys sp.</t>
  </si>
  <si>
    <t>Limnephilidae</t>
  </si>
  <si>
    <t>undetermined large pupae</t>
  </si>
  <si>
    <t>Limnophila sp.</t>
  </si>
  <si>
    <t>Planorbiidae</t>
  </si>
  <si>
    <t>Gastropoda</t>
  </si>
  <si>
    <t>Gyraulus sp.</t>
  </si>
  <si>
    <t>s-mG</t>
  </si>
  <si>
    <r>
      <t>density indiv.s &gt;5mm / m</t>
    </r>
    <r>
      <rPr>
        <u val="single"/>
        <vertAlign val="superscript"/>
        <sz val="10"/>
        <rFont val="Arial"/>
        <family val="2"/>
      </rPr>
      <t>2</t>
    </r>
  </si>
  <si>
    <t>Amiocentrus sp.</t>
  </si>
  <si>
    <t>Antocha sp.</t>
  </si>
  <si>
    <t>Coelenterata</t>
  </si>
  <si>
    <t>Hydroida</t>
  </si>
  <si>
    <t>Hydridae</t>
  </si>
  <si>
    <t>Hydra sp.</t>
  </si>
  <si>
    <t>Stempellina sp.</t>
  </si>
  <si>
    <t>Polypedilum aviceps</t>
  </si>
  <si>
    <t>Arctopsyche grandis</t>
  </si>
  <si>
    <t>Epeorus sp.</t>
  </si>
  <si>
    <t>Muscidae</t>
  </si>
  <si>
    <t>Limnophora sp.</t>
  </si>
  <si>
    <t>mG, sC</t>
  </si>
  <si>
    <t>Doroneuria baumanni</t>
  </si>
  <si>
    <t>Rhabdomastix sp.</t>
  </si>
  <si>
    <t>cS, sG, w</t>
  </si>
  <si>
    <t>Psectrocladius psilopterus grp.</t>
  </si>
  <si>
    <t>Sperchonopsis sp.</t>
  </si>
  <si>
    <t>Protziidae</t>
  </si>
  <si>
    <t>Wandesia sp.</t>
  </si>
  <si>
    <t>G, C</t>
  </si>
  <si>
    <t>Lepidostomatidae</t>
  </si>
  <si>
    <t>Lepidostoma sp.</t>
  </si>
  <si>
    <t>Feltriidae</t>
  </si>
  <si>
    <t>Feltria sp.</t>
  </si>
  <si>
    <t>Ljania sp.</t>
  </si>
  <si>
    <t>Substrate Class</t>
  </si>
  <si>
    <t>1999+2000, 2002</t>
  </si>
  <si>
    <t>small to medium gravel</t>
  </si>
  <si>
    <t>medium gravel to small cobble</t>
  </si>
  <si>
    <t>Richness (sample)</t>
  </si>
  <si>
    <t>Post-project</t>
  </si>
  <si>
    <t>46% Haploperla + Baetis alone</t>
  </si>
  <si>
    <t>Haploperla + Baetis</t>
  </si>
  <si>
    <t>Control Reach</t>
  </si>
  <si>
    <r>
      <t>#&gt;5mm/m</t>
    </r>
    <r>
      <rPr>
        <vertAlign val="superscript"/>
        <sz val="10"/>
        <rFont val="Arial"/>
        <family val="2"/>
      </rPr>
      <t>2</t>
    </r>
  </si>
  <si>
    <t>Class</t>
  </si>
  <si>
    <t>By substrate class:</t>
  </si>
  <si>
    <t>sand (1+2 above)</t>
  </si>
  <si>
    <t>sand-gravel (3+4 above)</t>
  </si>
  <si>
    <t>gravel-cobble (5+6 above)</t>
  </si>
  <si>
    <t>By substrate code:</t>
  </si>
  <si>
    <t>2002-control</t>
  </si>
  <si>
    <t>1999+2000 pre-proj channelized reach</t>
  </si>
  <si>
    <t>1999+2000 pre-proj downstream reach</t>
  </si>
  <si>
    <t>2002-chann</t>
  </si>
  <si>
    <t>2002-downstr</t>
  </si>
  <si>
    <t>Density as</t>
  </si>
  <si>
    <t>SDs</t>
  </si>
  <si>
    <t>in order</t>
  </si>
  <si>
    <t xml:space="preserve">1999+2000 </t>
  </si>
  <si>
    <t>pre-project channelized</t>
  </si>
  <si>
    <t>pre-project downstream</t>
  </si>
  <si>
    <t>post-project downstream</t>
  </si>
  <si>
    <t>post-project channelized</t>
  </si>
  <si>
    <t>above project control</t>
  </si>
  <si>
    <t>1999+2000 before</t>
  </si>
  <si>
    <t xml:space="preserve">  2002    after</t>
  </si>
  <si>
    <t xml:space="preserve">  2002   after</t>
  </si>
  <si>
    <t>2002 control</t>
  </si>
  <si>
    <t>channelized reach</t>
  </si>
  <si>
    <t>downstream reach</t>
  </si>
  <si>
    <t>above project</t>
  </si>
  <si>
    <t>%EPT of total</t>
  </si>
  <si>
    <t>%EPT of Taxa</t>
  </si>
  <si>
    <t>Substrate Size</t>
  </si>
  <si>
    <t>EPT Richnesss</t>
  </si>
  <si>
    <t>sand and gravel</t>
  </si>
  <si>
    <t>sand</t>
  </si>
  <si>
    <t>gravel and cobble</t>
  </si>
  <si>
    <r>
      <t>Density of Inverts &gt;5 mm /m</t>
    </r>
    <r>
      <rPr>
        <vertAlign val="superscript"/>
        <sz val="10"/>
        <rFont val="Arial"/>
        <family val="2"/>
      </rPr>
      <t>2</t>
    </r>
  </si>
  <si>
    <t>Total Taxa</t>
  </si>
  <si>
    <t>sC = small cobble</t>
  </si>
  <si>
    <t>C = mixed cobble</t>
  </si>
  <si>
    <t>sum taxa:</t>
  </si>
  <si>
    <t>Pre-Project</t>
  </si>
  <si>
    <t>Post-Project</t>
  </si>
  <si>
    <t>Above-Project</t>
  </si>
  <si>
    <t>Sept. 25 and 25, 2003</t>
  </si>
  <si>
    <t>Second year post-project monitoring</t>
  </si>
  <si>
    <t>g, sC</t>
  </si>
  <si>
    <t>Cynygma</t>
  </si>
  <si>
    <t>Malenka</t>
  </si>
  <si>
    <t>Perlinodes aureus</t>
  </si>
  <si>
    <t>s, g, sC</t>
  </si>
  <si>
    <t>Polypedilum scalaenum</t>
  </si>
  <si>
    <t>Physidae</t>
  </si>
  <si>
    <t>Physa</t>
  </si>
  <si>
    <t>g</t>
  </si>
  <si>
    <t>Eukiefferiella brevicalar grp.</t>
  </si>
  <si>
    <t>Apsectrotanypus</t>
  </si>
  <si>
    <t>Ptychopteridae</t>
  </si>
  <si>
    <t>Ptychoptera</t>
  </si>
  <si>
    <t>Nudomideopsidae</t>
  </si>
  <si>
    <t>Paramideopsis</t>
  </si>
  <si>
    <t>s, g</t>
  </si>
  <si>
    <t>Parorthocladius</t>
  </si>
  <si>
    <t>Thienemanniella fusca</t>
  </si>
  <si>
    <t>Parakiefferiella</t>
  </si>
  <si>
    <t>w/ Pagastia added:</t>
  </si>
  <si>
    <t>Pagastia added only</t>
  </si>
  <si>
    <t>in 2003 since it was</t>
  </si>
  <si>
    <t>included in counts of</t>
  </si>
  <si>
    <t>&gt;5 in previous years</t>
  </si>
  <si>
    <t>g, C</t>
  </si>
  <si>
    <t>Monodiamesa</t>
  </si>
  <si>
    <t>only 19% post-proj.</t>
  </si>
  <si>
    <t>decrease</t>
  </si>
  <si>
    <t>increase</t>
  </si>
  <si>
    <t>appears</t>
  </si>
  <si>
    <t>species requiring stable habitat to attach and filter-feed increase (Hydropsyche, Simulium, Rheotanytarsus, Cladotanytarsus)</t>
  </si>
  <si>
    <t>midge percent</t>
  </si>
  <si>
    <t>though midge percent is near-equal, composition changes</t>
  </si>
  <si>
    <t>Serratella becomes most abundant in post-project stream (18%)</t>
  </si>
  <si>
    <t>129 total taxa collected from all sampling</t>
  </si>
  <si>
    <t>composite HBI</t>
  </si>
  <si>
    <t>small-body size taxa decline (e.g. Haploperla, Nanocladius, Tanytarsus)</t>
  </si>
  <si>
    <t>Ephemeroptera w/oBaetis</t>
  </si>
  <si>
    <t>bulk of senstive mayflies increase (excluding Baetis) from 12 to 31% (Serratella, Cinygmula, Paraleptophlebia)</t>
  </si>
  <si>
    <t>control site bears some similarity to both pre- and post-project sections (but most similar to post-project, higher similarity coefficient and more shared taxa))</t>
  </si>
  <si>
    <t>increased abundance from pre to post, with above area having highest densities (from 13,000 to 21,000 /m2 and above=32,000)</t>
  </si>
  <si>
    <t>dominance by Baetis+Haploperla declines from 46% to 19%</t>
  </si>
  <si>
    <t>2003-chann</t>
  </si>
  <si>
    <t>2003-downstr</t>
  </si>
  <si>
    <t>2003-control</t>
  </si>
  <si>
    <t>ALL YEARS / SITES COMBINED:</t>
  </si>
  <si>
    <t>large-body taxa increase, appear (Hydropsyche, Doroneuria, Pteronarcys, Arctopsyche)</t>
  </si>
  <si>
    <t>Chiro</t>
  </si>
  <si>
    <t>Changes most pronounced in the completely reconstructed channelized reach</t>
  </si>
  <si>
    <t>Downstream reach with partial reconstruction also shows effects but less so</t>
  </si>
  <si>
    <t>Above project control usually intermediate between pre-/post- (natural channel still with dominance of sand bed)</t>
  </si>
  <si>
    <t>Trend in decreased dominance also supported by Baetis+Haploperla decreasing from 46% to 19% for channels combined before and after reconstruction</t>
  </si>
  <si>
    <t>Increased overall abundance from pre to post, with above area having highest densities (changing from 13,000 to 21,000 /m2 in project area and above=32,000)</t>
  </si>
  <si>
    <t>Overall patterns related to differences in substrate size distribution before and after engineering</t>
  </si>
  <si>
    <t>List of taxa collected in Trout Creek restoration monitoring.</t>
  </si>
  <si>
    <t>Values</t>
  </si>
  <si>
    <t xml:space="preserve">Pinkham-Pearson coefficient </t>
  </si>
  <si>
    <t xml:space="preserve">Pinkham-Pearson </t>
  </si>
  <si>
    <t>similarity</t>
  </si>
  <si>
    <t>would equal 1.0 if exactly similar</t>
  </si>
  <si>
    <t>Taxa in control</t>
  </si>
  <si>
    <t>shared with</t>
  </si>
  <si>
    <t>before and after</t>
  </si>
  <si>
    <t>Before</t>
  </si>
  <si>
    <t>After</t>
  </si>
  <si>
    <t xml:space="preserve">Control - </t>
  </si>
  <si>
    <t>Long-Term Project Monitoring 2007 and 2008</t>
  </si>
  <si>
    <t>channelized (c)=complete restoration; downstream(d)=partial restoration; above (a)=control area</t>
  </si>
  <si>
    <t>Neoplasta sp.</t>
  </si>
  <si>
    <t>Hemerodromia sp.</t>
  </si>
  <si>
    <t>Leptohyphidae</t>
  </si>
  <si>
    <t>Tricorythodes sp.</t>
  </si>
  <si>
    <t>Microtendipes</t>
  </si>
  <si>
    <t>Narpus sp.</t>
  </si>
  <si>
    <t>Polypedilum tritum</t>
  </si>
  <si>
    <t>Dixidae</t>
  </si>
  <si>
    <t>Dixella</t>
  </si>
  <si>
    <t>Prostigmata</t>
  </si>
  <si>
    <t>Stygothrombiidae</t>
  </si>
  <si>
    <t>Stygothrombium</t>
  </si>
  <si>
    <t>Sample date:  25 IX 08</t>
  </si>
  <si>
    <t>Partial restoration area</t>
  </si>
  <si>
    <t>m</t>
  </si>
  <si>
    <t>L</t>
  </si>
  <si>
    <t>LC</t>
  </si>
  <si>
    <t>C</t>
  </si>
  <si>
    <t>RC</t>
  </si>
  <si>
    <t>R</t>
  </si>
  <si>
    <t>f</t>
  </si>
  <si>
    <t>s</t>
  </si>
  <si>
    <t>p</t>
  </si>
  <si>
    <t>Sample # 1</t>
  </si>
  <si>
    <t>Targeted Riffle</t>
  </si>
  <si>
    <t>Quadrat</t>
  </si>
  <si>
    <t>Sample # 2</t>
  </si>
  <si>
    <t>Sample # 3</t>
  </si>
  <si>
    <t>Sample # 4</t>
  </si>
  <si>
    <t>Sample # 5</t>
  </si>
  <si>
    <t>Sample # 6</t>
  </si>
  <si>
    <t>h</t>
  </si>
  <si>
    <t>Complete restoration area</t>
  </si>
  <si>
    <t>Control area</t>
  </si>
  <si>
    <t>Sample # 7</t>
  </si>
  <si>
    <t>Sample # 8</t>
  </si>
  <si>
    <t>Sample # 9</t>
  </si>
  <si>
    <t>Sample # 10</t>
  </si>
  <si>
    <t>Fines</t>
  </si>
  <si>
    <t>Sand</t>
  </si>
  <si>
    <t>Gravel</t>
  </si>
  <si>
    <t>Pebble</t>
  </si>
  <si>
    <t>Cobble</t>
  </si>
  <si>
    <t>Sample date:  2007</t>
  </si>
  <si>
    <t>Quadrat samples</t>
  </si>
  <si>
    <t>25 IX 08</t>
  </si>
  <si>
    <t>2007 - 2008 Bioassessment Sampling</t>
  </si>
  <si>
    <t>Tipula sp.</t>
  </si>
  <si>
    <t>Protzia</t>
  </si>
  <si>
    <t>Phaenopsectra</t>
  </si>
  <si>
    <t>Acricotopus</t>
  </si>
  <si>
    <t>Probezzia sp.</t>
  </si>
  <si>
    <t>Polypedilum flavum</t>
  </si>
  <si>
    <t>Oxidae</t>
  </si>
  <si>
    <t>Oxus</t>
  </si>
  <si>
    <t>Zavrelimyia sp.</t>
  </si>
  <si>
    <t>Ascidae</t>
  </si>
  <si>
    <t>Mesostigmata</t>
  </si>
  <si>
    <t>Cheiroseius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</si>
  <si>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</si>
  <si>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</si>
  <si>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</si>
  <si>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</si>
  <si>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</si>
  <si>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</si>
  <si>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</si>
  <si>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</si>
  <si>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</si>
  <si>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</si>
  <si>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r>
      <t xml:space="preserve">Long-Term Project Monitoring </t>
    </r>
    <r>
      <rPr>
        <b/>
        <sz val="10"/>
        <rFont val="Arial"/>
        <family val="2"/>
      </rPr>
      <t>2007 and 2008</t>
    </r>
  </si>
  <si>
    <t>%DOMINANCE</t>
  </si>
  <si>
    <t>Separate Count of # &gt; 5 mm (w/o midges)</t>
  </si>
  <si>
    <t>Separate Count of # &gt; 5 mm (w/ midges)</t>
  </si>
  <si>
    <r>
      <t>density indiv.s &gt;5mm / m</t>
    </r>
    <r>
      <rPr>
        <u val="single"/>
        <vertAlign val="superscript"/>
        <sz val="10"/>
        <rFont val="Arial"/>
        <family val="2"/>
      </rPr>
      <t xml:space="preserve">2 </t>
    </r>
    <r>
      <rPr>
        <u val="single"/>
        <sz val="10"/>
        <rFont val="Arial"/>
        <family val="2"/>
      </rPr>
      <t xml:space="preserve"> (w/o midges)</t>
    </r>
  </si>
  <si>
    <r>
      <t>density indiv.s &gt;5mm / 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2"/>
      </rPr>
      <t xml:space="preserve"> (w/ midges)</t>
    </r>
  </si>
  <si>
    <t>&gt;5 mm counts and density do not include midges</t>
  </si>
  <si>
    <t>Ephemerella dorothea</t>
  </si>
  <si>
    <t>26 IX 07</t>
  </si>
  <si>
    <t>27 IX 07</t>
  </si>
  <si>
    <t>Odanata</t>
  </si>
  <si>
    <t>Gomphidae</t>
  </si>
  <si>
    <t>Ophiogomphus sp.</t>
  </si>
  <si>
    <t>Psychglypha sp.</t>
  </si>
  <si>
    <t>Calliperla luctuosa</t>
  </si>
  <si>
    <t>Cleptelmis addenda</t>
  </si>
  <si>
    <t>Lepidostoma cascadense</t>
  </si>
  <si>
    <t>Psychoglypha sp.</t>
  </si>
  <si>
    <t>Fraction Processed</t>
  </si>
  <si>
    <t>New count of &gt;5mm for 1999 &amp; 2000</t>
  </si>
  <si>
    <t>Frisonia sp.</t>
  </si>
  <si>
    <t>Diphetor hageni</t>
  </si>
  <si>
    <t>Rickera / Kogotus</t>
  </si>
  <si>
    <t>Potthastia longimana</t>
  </si>
  <si>
    <t>Pentaneura sp.</t>
  </si>
  <si>
    <t>Cryptochironomus sp.</t>
  </si>
  <si>
    <t>Ampumixis sp.</t>
  </si>
  <si>
    <t>Brillia</t>
  </si>
  <si>
    <t>Paratendipes</t>
  </si>
  <si>
    <t>Nanocladius parvulus</t>
  </si>
  <si>
    <t>Brachypoda</t>
  </si>
  <si>
    <t>Culicoides</t>
  </si>
  <si>
    <t>DENSITY (no./m2) using 30x30 cm net</t>
  </si>
  <si>
    <t>density indiv.s &gt;5mm / m2</t>
  </si>
  <si>
    <t>%Fines</t>
  </si>
  <si>
    <t>%Sand</t>
  </si>
  <si>
    <t>%Gravel</t>
  </si>
  <si>
    <t>%Pebble</t>
  </si>
  <si>
    <t>%Cobble</t>
  </si>
  <si>
    <t>%Fines &amp; Sand</t>
  </si>
  <si>
    <t>na</t>
  </si>
  <si>
    <t>SD's</t>
  </si>
  <si>
    <t>DOMINANCE</t>
  </si>
  <si>
    <t>T2/T8/T9</t>
  </si>
  <si>
    <t>T1 - T4 &amp; T9/T10</t>
  </si>
  <si>
    <t>T1/T3-T7/T10</t>
  </si>
  <si>
    <t>T5-T8</t>
  </si>
  <si>
    <t>&gt;5mm</t>
  </si>
  <si>
    <t>density</t>
  </si>
  <si>
    <t>Complete</t>
  </si>
  <si>
    <t>fines</t>
  </si>
  <si>
    <t>gravel</t>
  </si>
  <si>
    <t>pebble</t>
  </si>
  <si>
    <t>cobble</t>
  </si>
  <si>
    <t>bolder</t>
  </si>
  <si>
    <t>Partial</t>
  </si>
  <si>
    <t>TOTAL</t>
  </si>
  <si>
    <t>Complete Restoration</t>
  </si>
  <si>
    <t>Partial Restoration</t>
  </si>
  <si>
    <t>Above Project Control</t>
  </si>
  <si>
    <t>NOTE:  T1 -T5 in 1999 pertains to partial restoration (d) and T1-T5 in 2000 pertains to complete restoration (c)</t>
  </si>
  <si>
    <t>Sites now divided into project areas: upper project #1-5 = T1-T5, lower project #1-5 = T6-T10</t>
  </si>
  <si>
    <t>Control reach added as Above Pioneer Trail #1-5, to evaluate background conditions above project area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</si>
</sst>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  <numFmt numFmtId="171" formatCode="0.0000000000"/>
    <numFmt numFmtId="172" formatCode="0.000000000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9.5"/>
      <name val="Arial"/>
      <family val="2"/>
    </font>
    <font>
      <b/>
      <vertAlign val="superscript"/>
      <sz val="10.25"/>
      <name val="Arial"/>
      <family val="2"/>
    </font>
    <font>
      <b/>
      <sz val="11.25"/>
      <name val="Arial"/>
      <family val="0"/>
    </font>
    <font>
      <b/>
      <sz val="10.25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u val="single"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.5"/>
      <name val="Arial"/>
      <family val="0"/>
    </font>
    <font>
      <b/>
      <u val="single"/>
      <sz val="10"/>
      <name val="Arial"/>
      <family val="2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b/>
      <vertAlign val="superscript"/>
      <sz val="10"/>
      <name val="Arial"/>
      <family val="2"/>
    </font>
    <font>
      <b/>
      <sz val="14.5"/>
      <name val="Arial"/>
      <family val="0"/>
    </font>
    <font>
      <vertAlign val="superscript"/>
      <sz val="9.75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10"/>
      <color indexed="17"/>
      <name val="Arial"/>
      <family val="2"/>
    </font>
    <font>
      <vertAlign val="superscript"/>
      <sz val="11.5"/>
      <name val="Arial"/>
      <family val="2"/>
    </font>
    <font>
      <b/>
      <vertAlign val="superscript"/>
      <sz val="11.5"/>
      <name val="Arial"/>
      <family val="2"/>
    </font>
    <font>
      <b/>
      <sz val="11.75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3" fontId="0" fillId="0" borderId="0" xfId="0" applyNumberFormat="1" applyFill="1" applyAlignment="1">
      <alignment horizontal="right"/>
    </xf>
    <xf numFmtId="13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166" fontId="0" fillId="0" borderId="0" xfId="0" applyNumberFormat="1" applyFill="1" applyAlignment="1">
      <alignment/>
    </xf>
    <xf numFmtId="2" fontId="2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3" fontId="0" fillId="0" borderId="12" xfId="0" applyNumberFormat="1" applyFill="1" applyBorder="1" applyAlignment="1">
      <alignment/>
    </xf>
    <xf numFmtId="13" fontId="0" fillId="0" borderId="0" xfId="0" applyNumberFormat="1" applyFill="1" applyBorder="1" applyAlignment="1">
      <alignment/>
    </xf>
    <xf numFmtId="13" fontId="0" fillId="0" borderId="5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3" fontId="0" fillId="0" borderId="12" xfId="0" applyNumberFormat="1" applyFill="1" applyBorder="1" applyAlignment="1">
      <alignment horizontal="right"/>
    </xf>
    <xf numFmtId="13" fontId="0" fillId="0" borderId="0" xfId="0" applyNumberFormat="1" applyFill="1" applyBorder="1" applyAlignment="1">
      <alignment horizontal="right"/>
    </xf>
    <xf numFmtId="13" fontId="0" fillId="0" borderId="5" xfId="0" applyNumberFormat="1" applyFill="1" applyBorder="1" applyAlignment="1">
      <alignment horizontal="right"/>
    </xf>
    <xf numFmtId="164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1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896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graphs'!$B$19:$F$19</c:f>
              <c:numCache>
                <c:ptCount val="5"/>
                <c:pt idx="0">
                  <c:v>18.624161073825505</c:v>
                </c:pt>
                <c:pt idx="1">
                  <c:v>15.321252059308073</c:v>
                </c:pt>
                <c:pt idx="2">
                  <c:v>10.608203677510609</c:v>
                </c:pt>
                <c:pt idx="3">
                  <c:v>5.2100840336134455</c:v>
                </c:pt>
                <c:pt idx="4">
                  <c:v>10.494752623688155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graphs'!$G$19:$K$19</c:f>
              <c:numCache>
                <c:ptCount val="5"/>
                <c:pt idx="0">
                  <c:v>46.070460704607044</c:v>
                </c:pt>
                <c:pt idx="1">
                  <c:v>37.429378531073446</c:v>
                </c:pt>
                <c:pt idx="2">
                  <c:v>14.184397163120567</c:v>
                </c:pt>
                <c:pt idx="3">
                  <c:v>55.63770794824399</c:v>
                </c:pt>
                <c:pt idx="4">
                  <c:v>25.894378194207835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graphs'!$L$19:$P$19</c:f>
              <c:numCache>
                <c:ptCount val="5"/>
                <c:pt idx="0">
                  <c:v>22.234891676168758</c:v>
                </c:pt>
                <c:pt idx="1">
                  <c:v>65.66265060240964</c:v>
                </c:pt>
                <c:pt idx="2">
                  <c:v>55.04926108374384</c:v>
                </c:pt>
                <c:pt idx="3">
                  <c:v>56.802721088435376</c:v>
                </c:pt>
                <c:pt idx="4">
                  <c:v>3.111587982832618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graphs'!$Q$19:$U$19</c:f>
              <c:numCache>
                <c:ptCount val="5"/>
                <c:pt idx="0">
                  <c:v>12.142857142857142</c:v>
                </c:pt>
                <c:pt idx="1">
                  <c:v>10.150375939849624</c:v>
                </c:pt>
                <c:pt idx="2">
                  <c:v>13.020833333333334</c:v>
                </c:pt>
                <c:pt idx="3">
                  <c:v>12.455516014234876</c:v>
                </c:pt>
                <c:pt idx="4">
                  <c:v>15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graphs'!$V$19:$Z$19</c:f>
              <c:numCache>
                <c:ptCount val="5"/>
                <c:pt idx="0">
                  <c:v>47.5609756097561</c:v>
                </c:pt>
                <c:pt idx="1">
                  <c:v>14.102564102564102</c:v>
                </c:pt>
                <c:pt idx="2">
                  <c:v>9.064327485380117</c:v>
                </c:pt>
                <c:pt idx="3">
                  <c:v>10.676156583629894</c:v>
                </c:pt>
                <c:pt idx="4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graphs'!$AA$19:$AE$19</c:f>
              <c:numCache>
                <c:ptCount val="5"/>
                <c:pt idx="0">
                  <c:v>36.018957345971565</c:v>
                </c:pt>
                <c:pt idx="1">
                  <c:v>51.04895104895105</c:v>
                </c:pt>
                <c:pt idx="2">
                  <c:v>56.25</c:v>
                </c:pt>
                <c:pt idx="3">
                  <c:v>74.57627118644068</c:v>
                </c:pt>
                <c:pt idx="4">
                  <c:v>59.07590759075907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graphs'!$AF$19:$AJ$19</c:f>
              <c:numCache>
                <c:ptCount val="5"/>
                <c:pt idx="0">
                  <c:v>7.719298245614035</c:v>
                </c:pt>
                <c:pt idx="1">
                  <c:v>22.868217054263567</c:v>
                </c:pt>
                <c:pt idx="2">
                  <c:v>8.823529411764707</c:v>
                </c:pt>
                <c:pt idx="3">
                  <c:v>19.583333333333332</c:v>
                </c:pt>
                <c:pt idx="4">
                  <c:v>3.056768558951965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crossBetween val="midCat"/>
        <c:dispUnits/>
        <c:majorUnit val="20"/>
      </c:val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EPT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0642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75"/>
          <c:y val="0.06925"/>
          <c:w val="0.37075"/>
          <c:h val="0.295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Diversity by Substrate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graphs'!$G$215:$K$215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'Data +prelim graphs'!$G$217:$K$217</c:f>
                <c:numCache>
                  <c:ptCount val="5"/>
                  <c:pt idx="0">
                    <c:v>0</c:v>
                  </c:pt>
                  <c:pt idx="1">
                    <c:v>2.8</c:v>
                  </c:pt>
                  <c:pt idx="2">
                    <c:v>3.77</c:v>
                  </c:pt>
                  <c:pt idx="3">
                    <c:v>0</c:v>
                  </c:pt>
                  <c:pt idx="4">
                    <c:v>2.1</c:v>
                  </c:pt>
                </c:numCache>
              </c:numRef>
            </c:plus>
            <c:noEndCap val="0"/>
          </c:errBars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graphs'!$G$216:$K$216</c:f>
              <c:numCache>
                <c:ptCount val="5"/>
                <c:pt idx="0">
                  <c:v>14</c:v>
                </c:pt>
                <c:pt idx="1">
                  <c:v>24</c:v>
                </c:pt>
                <c:pt idx="2">
                  <c:v>24.25</c:v>
                </c:pt>
                <c:pt idx="3">
                  <c:v>28</c:v>
                </c:pt>
                <c:pt idx="4">
                  <c:v>34.5</c:v>
                </c:pt>
              </c:numCache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Richness (#taxa)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Size Distribution by Substrate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+prelim graphs'!$G$214:$K$215</c:f>
              <c:multiLvlStrCache>
                <c:ptCount val="5"/>
                <c:lvl>
                  <c:pt idx="0">
                    <c:v>sand only</c:v>
                  </c:pt>
                  <c:pt idx="1">
                    <c:v>silt-sand-sm.gravel</c:v>
                  </c:pt>
                  <c:pt idx="2">
                    <c:v>sand-sm.gravel</c:v>
                  </c:pt>
                  <c:pt idx="3">
                    <c:v>coarse sand-sm.gravel</c:v>
                  </c:pt>
                  <c:pt idx="4">
                    <c:v>sand-med.gravel</c:v>
                  </c:pt>
                </c:lvl>
                <c:lvl>
                  <c:pt idx="0">
                    <c:v>T2</c:v>
                  </c:pt>
                  <c:pt idx="1">
                    <c:v>T8,9</c:v>
                  </c:pt>
                  <c:pt idx="2">
                    <c:v>T1,5,6,7</c:v>
                  </c:pt>
                  <c:pt idx="3">
                    <c:v>T10</c:v>
                  </c:pt>
                  <c:pt idx="4">
                    <c:v>T3,4</c:v>
                  </c:pt>
                </c:lvl>
              </c:multiLvlStrCache>
            </c:multiLvlStrRef>
          </c:cat>
          <c:val>
            <c:numRef>
              <c:f>'Data +prelim graphs'!$G$218:$K$218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0.0349</c:v>
                </c:pt>
                <c:pt idx="4">
                  <c:v>0</c:v>
                </c:pt>
              </c:numCache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 of total &gt;5mm body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 Invertebrate Densities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graphs'!$F$175:$Q$175</c:f>
              <c:numCache>
                <c:ptCount val="12"/>
                <c:pt idx="0">
                  <c:v>3518.7000000000003</c:v>
                </c:pt>
                <c:pt idx="1">
                  <c:v>1073</c:v>
                </c:pt>
                <c:pt idx="2">
                  <c:v>5513</c:v>
                </c:pt>
                <c:pt idx="3">
                  <c:v>4373.400000000001</c:v>
                </c:pt>
                <c:pt idx="4">
                  <c:v>13172</c:v>
                </c:pt>
                <c:pt idx="5">
                  <c:v>5530.02</c:v>
                </c:pt>
                <c:pt idx="6">
                  <c:v>4572.973683720473</c:v>
                </c:pt>
                <c:pt idx="7">
                  <c:v>18914.4</c:v>
                </c:pt>
                <c:pt idx="8">
                  <c:v>10863.2</c:v>
                </c:pt>
                <c:pt idx="9">
                  <c:v>15599.2</c:v>
                </c:pt>
                <c:pt idx="10">
                  <c:v>19713.600000000002</c:v>
                </c:pt>
                <c:pt idx="11">
                  <c:v>13586.400000000001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Downstream Site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/m</a:t>
                </a:r>
                <a:r>
                  <a:rPr lang="en-US" cap="none" sz="10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Figure 2.  Total Richness by Substrate Type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Analysis'!$M$3:$M$34</c:f>
              <c:numCache>
                <c:ptCount val="32"/>
                <c:pt idx="0">
                  <c:v>28</c:v>
                </c:pt>
                <c:pt idx="1">
                  <c:v>15</c:v>
                </c:pt>
                <c:pt idx="2">
                  <c:v>37</c:v>
                </c:pt>
                <c:pt idx="3">
                  <c:v>34</c:v>
                </c:pt>
                <c:pt idx="4">
                  <c:v>24</c:v>
                </c:pt>
                <c:pt idx="5">
                  <c:v>27.6</c:v>
                </c:pt>
                <c:pt idx="7">
                  <c:v>8.677557259966653</c:v>
                </c:pt>
                <c:pt idx="8">
                  <c:v>28</c:v>
                </c:pt>
                <c:pt idx="10">
                  <c:v>20</c:v>
                </c:pt>
                <c:pt idx="11">
                  <c:v>23</c:v>
                </c:pt>
                <c:pt idx="12">
                  <c:v>27</c:v>
                </c:pt>
                <c:pt idx="13">
                  <c:v>29</c:v>
                </c:pt>
                <c:pt idx="14">
                  <c:v>25.4</c:v>
                </c:pt>
                <c:pt idx="16">
                  <c:v>3.7815340802378015</c:v>
                </c:pt>
                <c:pt idx="17">
                  <c:v>32</c:v>
                </c:pt>
                <c:pt idx="19">
                  <c:v>34</c:v>
                </c:pt>
                <c:pt idx="20">
                  <c:v>32</c:v>
                </c:pt>
                <c:pt idx="21">
                  <c:v>43</c:v>
                </c:pt>
                <c:pt idx="22">
                  <c:v>37</c:v>
                </c:pt>
                <c:pt idx="23">
                  <c:v>35.6</c:v>
                </c:pt>
                <c:pt idx="25">
                  <c:v>4.615192303685726</c:v>
                </c:pt>
                <c:pt idx="26">
                  <c:v>43</c:v>
                </c:pt>
                <c:pt idx="27">
                  <c:v>41</c:v>
                </c:pt>
                <c:pt idx="28">
                  <c:v>42</c:v>
                </c:pt>
                <c:pt idx="29">
                  <c:v>33</c:v>
                </c:pt>
                <c:pt idx="31">
                  <c:v>32</c:v>
                </c:pt>
              </c:numCache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crossBetween val="midCat"/>
        <c:dispUnits/>
      </c:valAx>
      <c:valAx>
        <c:axId val="5006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Total Number of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89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  EPT Richness by Substrate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5625"/>
          <c:w val="0.9195"/>
          <c:h val="0.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Analysis'!$N$3:$N$34</c:f>
              <c:numCache>
                <c:ptCount val="32"/>
                <c:pt idx="0">
                  <c:v>15</c:v>
                </c:pt>
                <c:pt idx="1">
                  <c:v>7</c:v>
                </c:pt>
                <c:pt idx="2">
                  <c:v>19</c:v>
                </c:pt>
                <c:pt idx="3">
                  <c:v>17</c:v>
                </c:pt>
                <c:pt idx="4">
                  <c:v>12</c:v>
                </c:pt>
                <c:pt idx="5">
                  <c:v>14</c:v>
                </c:pt>
                <c:pt idx="7">
                  <c:v>4.69041575982343</c:v>
                </c:pt>
                <c:pt idx="8">
                  <c:v>14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12.4</c:v>
                </c:pt>
                <c:pt idx="16">
                  <c:v>2.4083189157584615</c:v>
                </c:pt>
                <c:pt idx="17">
                  <c:v>10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12</c:v>
                </c:pt>
                <c:pt idx="25">
                  <c:v>2.5495097567963922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9</c:v>
                </c:pt>
                <c:pt idx="31">
                  <c:v>13</c:v>
                </c:pt>
              </c:numCache>
            </c:numRef>
          </c:yVal>
          <c:smooth val="0"/>
        </c:ser>
        <c:axId val="47945146"/>
        <c:axId val="28853131"/>
      </c:scatterChart>
      <c:val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crossBetween val="midCat"/>
        <c:dispUnits/>
      </c:valAx>
      <c:valAx>
        <c:axId val="28853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Number of EPT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5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95"/>
          <c:w val="0.908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Analysis'!$I$91:$J$91</c:f>
              <c:strCache>
                <c:ptCount val="1"/>
                <c:pt idx="0">
                  <c:v>Total Richness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Analysis'!$K$92:$N$92</c:f>
                <c:numCache>
                  <c:ptCount val="4"/>
                  <c:pt idx="0">
                    <c:v>8.303757038376116</c:v>
                  </c:pt>
                  <c:pt idx="1">
                    <c:v>2.8284271247461903</c:v>
                  </c:pt>
                  <c:pt idx="2">
                    <c:v>7.776643908280134</c:v>
                  </c:pt>
                  <c:pt idx="3">
                    <c:v>3.696845502136472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Analysis'!$K$91:$N$91</c:f>
              <c:numCache>
                <c:ptCount val="4"/>
                <c:pt idx="0">
                  <c:v>31.571428571428573</c:v>
                </c:pt>
                <c:pt idx="1">
                  <c:v>25</c:v>
                </c:pt>
                <c:pt idx="2">
                  <c:v>29.857142857142858</c:v>
                </c:pt>
                <c:pt idx="3">
                  <c:v>40</c:v>
                </c:pt>
              </c:numCache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2.  EPT Richness: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transect samples from 1999 and 2000 sorted by dominant substrate type in sample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475"/>
          <c:w val="0.90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Analysis'!$I$93:$J$93</c:f>
              <c:strCache>
                <c:ptCount val="1"/>
                <c:pt idx="0">
                  <c:v>EPT Richness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Analysis'!$K$94:$N$94</c:f>
                <c:numCache>
                  <c:ptCount val="4"/>
                  <c:pt idx="0">
                    <c:v>2.5071326821120334</c:v>
                  </c:pt>
                  <c:pt idx="1">
                    <c:v>1.4142135623730951</c:v>
                  </c:pt>
                  <c:pt idx="2">
                    <c:v>3.0783421635988555</c:v>
                  </c:pt>
                  <c:pt idx="3">
                    <c:v>1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Analysis'!$K$93:$N$93</c:f>
              <c:numCache>
                <c:ptCount val="4"/>
                <c:pt idx="0">
                  <c:v>10.571428571428571</c:v>
                </c:pt>
                <c:pt idx="1">
                  <c:v>12</c:v>
                </c:pt>
                <c:pt idx="2">
                  <c:v>14.142857142857142</c:v>
                </c:pt>
                <c:pt idx="3">
                  <c:v>18.5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Number of EPT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  Organisms of Size &gt; 5mm: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transect samples from 1999 and 2000 sorted by dominant substrate type in sample area (as in Fig. 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1575"/>
          <c:w val="0.919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'Summary Analysis'!$K$98:$N$98</c:f>
                <c:numCache>
                  <c:ptCount val="4"/>
                  <c:pt idx="0">
                    <c:v>1.230896419401163</c:v>
                  </c:pt>
                  <c:pt idx="1">
                    <c:v>0.5145422611844604</c:v>
                  </c:pt>
                  <c:pt idx="2">
                    <c:v>1.1349924281840267</c:v>
                  </c:pt>
                  <c:pt idx="3">
                    <c:v>4.421585528822211</c:v>
                  </c:pt>
                </c:numCache>
              </c:numRef>
            </c:plus>
            <c:noEndCap val="0"/>
          </c:errBars>
          <c:cat>
            <c:strRef>
              <c:f>'Summary Analysis'!$K$90:$N$90</c:f>
              <c:strCache>
                <c:ptCount val="4"/>
                <c:pt idx="0">
                  <c:v>silt and sand</c:v>
                </c:pt>
                <c:pt idx="1">
                  <c:v>silt, sand, and    sm. gravel</c:v>
                </c:pt>
                <c:pt idx="2">
                  <c:v>     sand and         sm. gravel</c:v>
                </c:pt>
                <c:pt idx="3">
                  <c:v>     sand and        med. gravel</c:v>
                </c:pt>
              </c:strCache>
            </c:strRef>
          </c:cat>
          <c:val>
            <c:numRef>
              <c:f>'Summary Analysis'!$K$97:$N$97</c:f>
              <c:numCache>
                <c:ptCount val="4"/>
                <c:pt idx="0">
                  <c:v>1.9150369115033548</c:v>
                </c:pt>
                <c:pt idx="1">
                  <c:v>0.9644369226911922</c:v>
                </c:pt>
                <c:pt idx="2">
                  <c:v>2.5445716692736506</c:v>
                </c:pt>
                <c:pt idx="3">
                  <c:v>5.985024478906244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Invertebrates &gt; 5mm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Figure 4.  Biotic Index Values: tolerance level of community to degraded habitat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3225"/>
          <c:w val="0.888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Analysis'!$T$3:$T$34</c:f>
              <c:numCache>
                <c:ptCount val="32"/>
                <c:pt idx="0">
                  <c:v>2.227129337539432</c:v>
                </c:pt>
                <c:pt idx="1">
                  <c:v>1.3620689655172413</c:v>
                </c:pt>
                <c:pt idx="2">
                  <c:v>2.836241610738255</c:v>
                </c:pt>
                <c:pt idx="3">
                  <c:v>3.52497883149873</c:v>
                </c:pt>
                <c:pt idx="4">
                  <c:v>3.3820224719101124</c:v>
                </c:pt>
                <c:pt idx="5">
                  <c:v>2.666488243440754</c:v>
                </c:pt>
                <c:pt idx="7">
                  <c:v>0.8905556451476675</c:v>
                </c:pt>
                <c:pt idx="8">
                  <c:v>2.6181533646322377</c:v>
                </c:pt>
                <c:pt idx="10">
                  <c:v>2.915531335149864</c:v>
                </c:pt>
                <c:pt idx="11">
                  <c:v>3.3605313092979125</c:v>
                </c:pt>
                <c:pt idx="12">
                  <c:v>3.9234234234234235</c:v>
                </c:pt>
                <c:pt idx="13">
                  <c:v>2.505446623093682</c:v>
                </c:pt>
                <c:pt idx="14">
                  <c:v>3.0646172111194243</c:v>
                </c:pt>
                <c:pt idx="16">
                  <c:v>0.5829540236887298</c:v>
                </c:pt>
                <c:pt idx="17">
                  <c:v>4.587301587301587</c:v>
                </c:pt>
                <c:pt idx="19">
                  <c:v>5.28494623655914</c:v>
                </c:pt>
                <c:pt idx="20">
                  <c:v>4.300127713920817</c:v>
                </c:pt>
                <c:pt idx="21">
                  <c:v>5.028004667444574</c:v>
                </c:pt>
                <c:pt idx="22">
                  <c:v>2.980538922155689</c:v>
                </c:pt>
                <c:pt idx="23">
                  <c:v>4.436183825476361</c:v>
                </c:pt>
                <c:pt idx="25">
                  <c:v>0.8987351483403145</c:v>
                </c:pt>
                <c:pt idx="26">
                  <c:v>3.9542079207920793</c:v>
                </c:pt>
                <c:pt idx="27">
                  <c:v>3.2604790419161676</c:v>
                </c:pt>
                <c:pt idx="28">
                  <c:v>3.86977886977887</c:v>
                </c:pt>
                <c:pt idx="29">
                  <c:v>3.6162988115449917</c:v>
                </c:pt>
                <c:pt idx="31">
                  <c:v>3.3315217391304346</c:v>
                </c:pt>
              </c:numCache>
            </c:numRef>
          </c:yVal>
          <c:smooth val="0"/>
        </c:ser>
        <c:axId val="24270114"/>
        <c:axId val="17104435"/>
      </c:scatterChart>
      <c:val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104435"/>
        <c:crosses val="autoZero"/>
        <c:crossBetween val="midCat"/>
        <c:dispUnits/>
      </c:val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Biotic Index (modified Hilsenhoff BI)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Figure 5.  Percent of Community Comprised of Chironomidae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69"/>
          <c:w val="0.873"/>
          <c:h val="0.617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Analysis'!$U$3:$U$34</c:f>
              <c:numCache>
                <c:ptCount val="32"/>
                <c:pt idx="0">
                  <c:v>1.0515247108307046</c:v>
                </c:pt>
                <c:pt idx="1">
                  <c:v>3.4482758620689653</c:v>
                </c:pt>
                <c:pt idx="2">
                  <c:v>1.5436241610738255</c:v>
                </c:pt>
                <c:pt idx="3">
                  <c:v>8.128704487722269</c:v>
                </c:pt>
                <c:pt idx="4">
                  <c:v>21.573033707865168</c:v>
                </c:pt>
                <c:pt idx="5">
                  <c:v>7.149032585912186</c:v>
                </c:pt>
                <c:pt idx="7">
                  <c:v>8.533864476693683</c:v>
                </c:pt>
                <c:pt idx="8">
                  <c:v>21.12676056338028</c:v>
                </c:pt>
                <c:pt idx="10">
                  <c:v>24.795640326975477</c:v>
                </c:pt>
                <c:pt idx="11">
                  <c:v>38.89943074003795</c:v>
                </c:pt>
                <c:pt idx="12">
                  <c:v>60.96096096096096</c:v>
                </c:pt>
                <c:pt idx="13">
                  <c:v>19.607843137254903</c:v>
                </c:pt>
                <c:pt idx="14">
                  <c:v>33.07812714572192</c:v>
                </c:pt>
                <c:pt idx="16">
                  <c:v>17.350960344188557</c:v>
                </c:pt>
                <c:pt idx="17">
                  <c:v>67.12018140589569</c:v>
                </c:pt>
                <c:pt idx="19">
                  <c:v>76.16487455197132</c:v>
                </c:pt>
                <c:pt idx="20">
                  <c:v>63.090676883780326</c:v>
                </c:pt>
                <c:pt idx="21">
                  <c:v>73.16219369894984</c:v>
                </c:pt>
                <c:pt idx="22">
                  <c:v>20.65868263473054</c:v>
                </c:pt>
                <c:pt idx="23">
                  <c:v>60.03932183506555</c:v>
                </c:pt>
                <c:pt idx="25">
                  <c:v>22.597164092556635</c:v>
                </c:pt>
                <c:pt idx="26">
                  <c:v>36.88118811881188</c:v>
                </c:pt>
                <c:pt idx="27">
                  <c:v>14.97005988023952</c:v>
                </c:pt>
                <c:pt idx="28">
                  <c:v>28.992628992628994</c:v>
                </c:pt>
                <c:pt idx="29">
                  <c:v>34.974533106960955</c:v>
                </c:pt>
                <c:pt idx="31">
                  <c:v>26.902173913043477</c:v>
                </c:pt>
              </c:numCache>
            </c:numRef>
          </c:yVal>
          <c:smooth val="0"/>
        </c:ser>
        <c:axId val="19722188"/>
        <c:axId val="43281965"/>
      </c:scatterChart>
      <c:val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281965"/>
        <c:crosses val="autoZero"/>
        <c:crossBetween val="midCat"/>
        <c:dispUnits/>
      </c:val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Percent Chironomidae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Density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125"/>
          <c:w val="0.79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graphs'!$B$15:$F$15</c:f>
              <c:numCache>
                <c:ptCount val="5"/>
                <c:pt idx="0">
                  <c:v>52972.48</c:v>
                </c:pt>
                <c:pt idx="1">
                  <c:v>71933.54666666666</c:v>
                </c:pt>
                <c:pt idx="2">
                  <c:v>167568.42666666664</c:v>
                </c:pt>
                <c:pt idx="3">
                  <c:v>35255.73333333333</c:v>
                </c:pt>
                <c:pt idx="4">
                  <c:v>118565.92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graphs'!$G$15:$K$15</c:f>
              <c:numCache>
                <c:ptCount val="5"/>
                <c:pt idx="0">
                  <c:v>32796.72</c:v>
                </c:pt>
                <c:pt idx="1">
                  <c:v>31463.52</c:v>
                </c:pt>
                <c:pt idx="2">
                  <c:v>50128.32</c:v>
                </c:pt>
                <c:pt idx="3">
                  <c:v>96168.16</c:v>
                </c:pt>
                <c:pt idx="4">
                  <c:v>52172.56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graphs'!$L$15:$P$15</c:f>
              <c:numCache>
                <c:ptCount val="5"/>
                <c:pt idx="0">
                  <c:v>19486.94</c:v>
                </c:pt>
                <c:pt idx="1">
                  <c:v>5532.78</c:v>
                </c:pt>
                <c:pt idx="2">
                  <c:v>36085.28</c:v>
                </c:pt>
                <c:pt idx="3">
                  <c:v>17420.48</c:v>
                </c:pt>
                <c:pt idx="4">
                  <c:v>165672.32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graphs'!$Q$15:$U$15</c:f>
              <c:numCache>
                <c:ptCount val="5"/>
                <c:pt idx="0">
                  <c:v>49772.8</c:v>
                </c:pt>
                <c:pt idx="1">
                  <c:v>23642.08</c:v>
                </c:pt>
                <c:pt idx="2">
                  <c:v>136519.68</c:v>
                </c:pt>
                <c:pt idx="3">
                  <c:v>49950.56</c:v>
                </c:pt>
                <c:pt idx="4">
                  <c:v>56883.2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graphs'!$V$15:$Z$15</c:f>
              <c:numCache>
                <c:ptCount val="5"/>
                <c:pt idx="0">
                  <c:v>43728.96</c:v>
                </c:pt>
                <c:pt idx="1">
                  <c:v>36974.08</c:v>
                </c:pt>
                <c:pt idx="2">
                  <c:v>20264.64</c:v>
                </c:pt>
                <c:pt idx="3">
                  <c:v>12487.64</c:v>
                </c:pt>
                <c:pt idx="4">
                  <c:v>14813.333333333332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graphs'!$AA$15:$AE$15</c:f>
              <c:numCache>
                <c:ptCount val="5"/>
                <c:pt idx="0">
                  <c:v>2344.21</c:v>
                </c:pt>
                <c:pt idx="1">
                  <c:v>12709.84</c:v>
                </c:pt>
                <c:pt idx="2">
                  <c:v>22753.28</c:v>
                </c:pt>
                <c:pt idx="3">
                  <c:v>13109.8</c:v>
                </c:pt>
                <c:pt idx="4">
                  <c:v>17953.76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graphs'!$AF$15:$AJ$15</c:f>
              <c:numCache>
                <c:ptCount val="5"/>
                <c:pt idx="0">
                  <c:v>4052.928</c:v>
                </c:pt>
                <c:pt idx="1">
                  <c:v>11465.52</c:v>
                </c:pt>
                <c:pt idx="2">
                  <c:v>36263.04</c:v>
                </c:pt>
                <c:pt idx="3">
                  <c:v>10665.6</c:v>
                </c:pt>
                <c:pt idx="4">
                  <c:v>10176.76</c:v>
                </c:pt>
              </c:numCache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crossBetween val="midCat"/>
        <c:dispUnits/>
        <c:majorUnit val="20"/>
      </c:valAx>
      <c:valAx>
        <c:axId val="61579155"/>
        <c:scaling>
          <c:orientation val="minMax"/>
          <c:max val="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 (No. 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6668290"/>
        <c:crosses val="autoZero"/>
        <c:crossBetween val="midCat"/>
        <c:dispUnits/>
        <c:majorUnit val="30000"/>
        <c:minorUnit val="3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"/>
          <c:y val="0.0975"/>
          <c:w val="0.15525"/>
          <c:h val="0.6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Figure 3.  Organisms of Size &gt; 5mm: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transect samples from 1999 and 2000 sorted by dominant substrate type in sample area (as in Fig. 2)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5"/>
          <c:w val="0.895"/>
          <c:h val="0.6887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Analysis'!$P$3:$P$34</c:f>
              <c:numCache>
                <c:ptCount val="32"/>
                <c:pt idx="0">
                  <c:v>2.4185068349106205</c:v>
                </c:pt>
                <c:pt idx="1">
                  <c:v>0</c:v>
                </c:pt>
                <c:pt idx="2">
                  <c:v>2.2818791946308723</c:v>
                </c:pt>
                <c:pt idx="3">
                  <c:v>3.048264182895851</c:v>
                </c:pt>
                <c:pt idx="4">
                  <c:v>3.146067415730337</c:v>
                </c:pt>
                <c:pt idx="5">
                  <c:v>2.178943525633536</c:v>
                </c:pt>
                <c:pt idx="7">
                  <c:v>1.2754242669542333</c:v>
                </c:pt>
                <c:pt idx="8">
                  <c:v>1.0954616588419406</c:v>
                </c:pt>
                <c:pt idx="10">
                  <c:v>1.3623978201634876</c:v>
                </c:pt>
                <c:pt idx="11">
                  <c:v>1.3282732447817838</c:v>
                </c:pt>
                <c:pt idx="12">
                  <c:v>0.6006006006006006</c:v>
                </c:pt>
                <c:pt idx="13">
                  <c:v>3.485838779956427</c:v>
                </c:pt>
                <c:pt idx="14">
                  <c:v>1.574514420868848</c:v>
                </c:pt>
                <c:pt idx="16">
                  <c:v>1.110944266474717</c:v>
                </c:pt>
                <c:pt idx="17">
                  <c:v>3.6281179138321997</c:v>
                </c:pt>
                <c:pt idx="19">
                  <c:v>1.971326164874552</c:v>
                </c:pt>
                <c:pt idx="20">
                  <c:v>1.277139208173691</c:v>
                </c:pt>
                <c:pt idx="21">
                  <c:v>1.4002333722287048</c:v>
                </c:pt>
                <c:pt idx="22">
                  <c:v>2.095808383233533</c:v>
                </c:pt>
                <c:pt idx="23">
                  <c:v>2.074525008468536</c:v>
                </c:pt>
                <c:pt idx="25">
                  <c:v>0.9374496285363382</c:v>
                </c:pt>
                <c:pt idx="26">
                  <c:v>4.207920792079208</c:v>
                </c:pt>
                <c:pt idx="27">
                  <c:v>11.976047904191617</c:v>
                </c:pt>
                <c:pt idx="28">
                  <c:v>6.6339066339066335</c:v>
                </c:pt>
                <c:pt idx="29">
                  <c:v>1.8675721561969438</c:v>
                </c:pt>
                <c:pt idx="31">
                  <c:v>3.260869565217391</c:v>
                </c:pt>
              </c:numCache>
            </c:numRef>
          </c:yVal>
          <c:smooth val="0"/>
        </c:ser>
        <c:axId val="53993366"/>
        <c:axId val="16178247"/>
      </c:scatterChart>
      <c:val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178247"/>
        <c:crosses val="autoZero"/>
        <c:crossBetween val="midCat"/>
        <c:dispUnits/>
      </c:valAx>
      <c:valAx>
        <c:axId val="1617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Invertebrates &gt;5mm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2.  EPT Richness: transect samples from 1999 and 2000 sorted by dominant substrate type in sample area</a:t>
            </a:r>
          </a:p>
        </c:rich>
      </c:tx>
      <c:layout>
        <c:manualLayout>
          <c:xMode val="factor"/>
          <c:yMode val="factor"/>
          <c:x val="0.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4975"/>
          <c:w val="0.895"/>
          <c:h val="0.6555"/>
        </c:manualLayout>
      </c:layout>
      <c:scatterChart>
        <c:scatterStyle val="lineMarker"/>
        <c:varyColors val="0"/>
        <c:ser>
          <c:idx val="0"/>
          <c:order val="0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Analysis'!$J$3:$J$34</c:f>
              <c:numCache>
                <c:ptCount val="3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8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1">
                  <c:v>1</c:v>
                </c:pt>
              </c:numCache>
            </c:numRef>
          </c:xVal>
          <c:yVal>
            <c:numRef>
              <c:f>'Summary Analysis'!$N$3:$N$34</c:f>
              <c:numCache>
                <c:ptCount val="32"/>
                <c:pt idx="0">
                  <c:v>15</c:v>
                </c:pt>
                <c:pt idx="1">
                  <c:v>7</c:v>
                </c:pt>
                <c:pt idx="2">
                  <c:v>19</c:v>
                </c:pt>
                <c:pt idx="3">
                  <c:v>17</c:v>
                </c:pt>
                <c:pt idx="4">
                  <c:v>12</c:v>
                </c:pt>
                <c:pt idx="5">
                  <c:v>14</c:v>
                </c:pt>
                <c:pt idx="7">
                  <c:v>4.69041575982343</c:v>
                </c:pt>
                <c:pt idx="8">
                  <c:v>14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12.4</c:v>
                </c:pt>
                <c:pt idx="16">
                  <c:v>2.4083189157584615</c:v>
                </c:pt>
                <c:pt idx="17">
                  <c:v>10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12</c:v>
                </c:pt>
                <c:pt idx="25">
                  <c:v>2.5495097567963922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9</c:v>
                </c:pt>
                <c:pt idx="31">
                  <c:v>13</c:v>
                </c:pt>
              </c:numCache>
            </c:numRef>
          </c:yVal>
          <c:smooth val="0"/>
        </c:ser>
        <c:axId val="11386496"/>
        <c:axId val="35369601"/>
      </c:scatterChart>
      <c:val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Substrate Type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369601"/>
        <c:crosses val="autoZero"/>
        <c:crossBetween val="midCat"/>
        <c:dispUnits/>
      </c:valAx>
      <c:valAx>
        <c:axId val="3536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Number of EPT Taxa/Sample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6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Analysis'!$M$131:$M$137</c:f>
                <c:numCache>
                  <c:ptCount val="7"/>
                  <c:pt idx="0">
                    <c:v>7.791733511299721</c:v>
                  </c:pt>
                  <c:pt idx="1">
                    <c:v>7.436396977031279</c:v>
                  </c:pt>
                  <c:pt idx="2">
                    <c:v>NaN</c:v>
                  </c:pt>
                  <c:pt idx="3">
                    <c:v>8.011103405759897</c:v>
                  </c:pt>
                  <c:pt idx="4">
                    <c:v>6.841052550594841</c:v>
                  </c:pt>
                  <c:pt idx="5">
                    <c:v>NaN</c:v>
                  </c:pt>
                  <c:pt idx="6">
                    <c:v>5.458937625582489</c:v>
                  </c:pt>
                </c:numCache>
              </c:numRef>
            </c:plus>
            <c:minus>
              <c:numRef>
                <c:f>'Summary Analysis'!$M$131:$M$137</c:f>
                <c:numCache>
                  <c:ptCount val="7"/>
                  <c:pt idx="0">
                    <c:v>7.791733511299721</c:v>
                  </c:pt>
                  <c:pt idx="1">
                    <c:v>7.436396977031279</c:v>
                  </c:pt>
                  <c:pt idx="2">
                    <c:v>NaN</c:v>
                  </c:pt>
                  <c:pt idx="3">
                    <c:v>8.011103405759897</c:v>
                  </c:pt>
                  <c:pt idx="4">
                    <c:v>6.841052550594841</c:v>
                  </c:pt>
                  <c:pt idx="5">
                    <c:v>NaN</c:v>
                  </c:pt>
                  <c:pt idx="6">
                    <c:v>5.458937625582489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/>
            </c:multiLvlStrRef>
          </c:cat>
          <c:val>
            <c:numRef>
              <c:f>'Summary Analysis'!$M$122:$M$128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Mean Taxa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Analysis'!$N$131:$N$137</c:f>
                <c:numCache>
                  <c:ptCount val="7"/>
                  <c:pt idx="0">
                    <c:v>3.711842908553348</c:v>
                  </c:pt>
                  <c:pt idx="1">
                    <c:v>3.2863353450309982</c:v>
                  </c:pt>
                  <c:pt idx="2">
                    <c:v>NaN</c:v>
                  </c:pt>
                  <c:pt idx="3">
                    <c:v>3.9001424475410023</c:v>
                  </c:pt>
                  <c:pt idx="4">
                    <c:v>2.5884358211089546</c:v>
                  </c:pt>
                  <c:pt idx="5">
                    <c:v>NaN</c:v>
                  </c:pt>
                  <c:pt idx="6">
                    <c:v>2.5495097567963922</c:v>
                  </c:pt>
                </c:numCache>
              </c:numRef>
            </c:plus>
            <c:minus>
              <c:numRef>
                <c:f>'Summary Analysis'!$N$131:$N$137</c:f>
                <c:numCache>
                  <c:ptCount val="7"/>
                  <c:pt idx="0">
                    <c:v>3.711842908553348</c:v>
                  </c:pt>
                  <c:pt idx="1">
                    <c:v>3.2863353450309982</c:v>
                  </c:pt>
                  <c:pt idx="2">
                    <c:v>NaN</c:v>
                  </c:pt>
                  <c:pt idx="3">
                    <c:v>3.9001424475410023</c:v>
                  </c:pt>
                  <c:pt idx="4">
                    <c:v>2.5884358211089546</c:v>
                  </c:pt>
                  <c:pt idx="5">
                    <c:v>NaN</c:v>
                  </c:pt>
                  <c:pt idx="6">
                    <c:v>2.5495097567963922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/>
            </c:multiLvlStrRef>
          </c:cat>
          <c:val>
            <c:numRef>
              <c:f>'Summary Analysis'!$N$122:$N$128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EPT Taxa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225"/>
          <c:w val="0.916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Analysis'!$O$131:$O$137</c:f>
                <c:numCache>
                  <c:ptCount val="7"/>
                  <c:pt idx="0">
                    <c:v>125.99874823011356</c:v>
                  </c:pt>
                  <c:pt idx="1">
                    <c:v>141.33806281395005</c:v>
                  </c:pt>
                  <c:pt idx="2">
                    <c:v>NaN</c:v>
                  </c:pt>
                  <c:pt idx="3">
                    <c:v>324.98649271076556</c:v>
                  </c:pt>
                  <c:pt idx="4">
                    <c:v>389.6646352955321</c:v>
                  </c:pt>
                  <c:pt idx="5">
                    <c:v>NaN</c:v>
                  </c:pt>
                  <c:pt idx="6">
                    <c:v>184.37735218838574</c:v>
                  </c:pt>
                </c:numCache>
              </c:numRef>
            </c:plus>
            <c:minus>
              <c:numRef>
                <c:f>'Summary Analysis'!$O$131:$O$137</c:f>
                <c:numCache>
                  <c:ptCount val="7"/>
                  <c:pt idx="0">
                    <c:v>125.99874823011356</c:v>
                  </c:pt>
                  <c:pt idx="1">
                    <c:v>141.33806281395005</c:v>
                  </c:pt>
                  <c:pt idx="2">
                    <c:v>NaN</c:v>
                  </c:pt>
                  <c:pt idx="3">
                    <c:v>324.98649271076556</c:v>
                  </c:pt>
                  <c:pt idx="4">
                    <c:v>389.6646352955321</c:v>
                  </c:pt>
                  <c:pt idx="5">
                    <c:v>NaN</c:v>
                  </c:pt>
                  <c:pt idx="6">
                    <c:v>184.37735218838574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>
                <c:ptCount val="7"/>
                <c:lvl>
                  <c:pt idx="0">
                    <c:v>1999+2000 before</c:v>
                  </c:pt>
                  <c:pt idx="1">
                    <c:v>  2002    after</c:v>
                  </c:pt>
                  <c:pt idx="2">
                    <c:v>2003</c:v>
                  </c:pt>
                  <c:pt idx="3">
                    <c:v>1999+2000 before</c:v>
                  </c:pt>
                  <c:pt idx="4">
                    <c:v>  2002   after</c:v>
                  </c:pt>
                  <c:pt idx="5">
                    <c:v>2003</c:v>
                  </c:pt>
                  <c:pt idx="6">
                    <c:v>2002 control</c:v>
                  </c:pt>
                </c:lvl>
                <c:lvl>
                  <c:pt idx="0">
                    <c:v>channelized reach</c:v>
                  </c:pt>
                  <c:pt idx="3">
                    <c:v>downstream reach</c:v>
                  </c:pt>
                  <c:pt idx="6">
                    <c:v>above project</c:v>
                  </c:pt>
                </c:lvl>
              </c:multiLvlStrCache>
            </c:multiLvlStrRef>
          </c:cat>
          <c:val>
            <c:numRef>
              <c:f>'Summary Analysis'!$O$122:$O$128</c:f>
              <c:numCache>
                <c:ptCount val="7"/>
                <c:pt idx="0">
                  <c:v>203.87</c:v>
                </c:pt>
                <c:pt idx="1">
                  <c:v>811.04</c:v>
                </c:pt>
                <c:pt idx="3">
                  <c:v>417.36</c:v>
                </c:pt>
                <c:pt idx="4">
                  <c:v>668.96</c:v>
                </c:pt>
                <c:pt idx="6">
                  <c:v>574.24</c:v>
                </c:pt>
              </c:numCache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Density of Inverts &gt;5 mm /m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2"/>
          <c:w val="0.931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errBars>
            <c:errDir val="y"/>
            <c:errBarType val="both"/>
            <c:errValType val="cust"/>
            <c:plus>
              <c:numRef>
                <c:f>'Summary Analysis'!$P$131:$P$137</c:f>
                <c:numCache>
                  <c:ptCount val="7"/>
                  <c:pt idx="0">
                    <c:v>20.2576561366385</c:v>
                  </c:pt>
                  <c:pt idx="1">
                    <c:v>3.8643072149939903</c:v>
                  </c:pt>
                  <c:pt idx="2">
                    <c:v>NaN</c:v>
                  </c:pt>
                  <c:pt idx="3">
                    <c:v>10.742754474952699</c:v>
                  </c:pt>
                  <c:pt idx="4">
                    <c:v>5.84793321389443</c:v>
                  </c:pt>
                  <c:pt idx="5">
                    <c:v>NaN</c:v>
                  </c:pt>
                  <c:pt idx="6">
                    <c:v>9.6237952788407</c:v>
                  </c:pt>
                </c:numCache>
              </c:numRef>
            </c:plus>
            <c:minus>
              <c:numRef>
                <c:f>'Summary Analysis'!$P$131:$P$137</c:f>
                <c:numCache>
                  <c:ptCount val="7"/>
                  <c:pt idx="0">
                    <c:v>20.2576561366385</c:v>
                  </c:pt>
                  <c:pt idx="1">
                    <c:v>3.8643072149939903</c:v>
                  </c:pt>
                  <c:pt idx="2">
                    <c:v>NaN</c:v>
                  </c:pt>
                  <c:pt idx="3">
                    <c:v>10.742754474952699</c:v>
                  </c:pt>
                  <c:pt idx="4">
                    <c:v>5.84793321389443</c:v>
                  </c:pt>
                  <c:pt idx="5">
                    <c:v>NaN</c:v>
                  </c:pt>
                  <c:pt idx="6">
                    <c:v>9.6237952788407</c:v>
                  </c:pt>
                </c:numCache>
              </c:numRef>
            </c:minus>
            <c:noEndCap val="0"/>
          </c:errBars>
          <c:cat>
            <c:multiLvlStrRef>
              <c:f>'Summary Analysis'!$H$122:$I$128</c:f>
              <c:multiLvlStrCache>
                <c:ptCount val="7"/>
                <c:lvl>
                  <c:pt idx="0">
                    <c:v>1999+2000 before</c:v>
                  </c:pt>
                  <c:pt idx="1">
                    <c:v>  2002    after</c:v>
                  </c:pt>
                  <c:pt idx="2">
                    <c:v>2003</c:v>
                  </c:pt>
                  <c:pt idx="3">
                    <c:v>1999+2000 before</c:v>
                  </c:pt>
                  <c:pt idx="4">
                    <c:v>  2002   after</c:v>
                  </c:pt>
                  <c:pt idx="5">
                    <c:v>2003</c:v>
                  </c:pt>
                  <c:pt idx="6">
                    <c:v>2002 control</c:v>
                  </c:pt>
                </c:lvl>
                <c:lvl>
                  <c:pt idx="0">
                    <c:v>channelized reach</c:v>
                  </c:pt>
                  <c:pt idx="3">
                    <c:v>downstream reach</c:v>
                  </c:pt>
                  <c:pt idx="6">
                    <c:v>above project</c:v>
                  </c:pt>
                </c:lvl>
              </c:multiLvlStrCache>
            </c:multiLvlStrRef>
          </c:cat>
          <c:val>
            <c:numRef>
              <c:f>'Summary Analysis'!$P$122:$P$128</c:f>
              <c:numCache>
                <c:ptCount val="7"/>
                <c:pt idx="0">
                  <c:v>43.4031603739578</c:v>
                </c:pt>
                <c:pt idx="1">
                  <c:v>21.2654745056687</c:v>
                </c:pt>
                <c:pt idx="3">
                  <c:v>30.877191316693597</c:v>
                </c:pt>
                <c:pt idx="4">
                  <c:v>17.5163351396864</c:v>
                </c:pt>
                <c:pt idx="6">
                  <c:v>20.927457556677002</c:v>
                </c:pt>
              </c:numCache>
            </c:numRef>
          </c:val>
        </c:ser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Dominant Taxon Percent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Biotic Index and Substrate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125"/>
          <c:w val="0.924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Analysis'!$K$3:$K$63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</c:numCache>
            </c:numRef>
          </c:xVal>
          <c:yVal>
            <c:numRef>
              <c:f>'Summary Analysis'!$T$3:$T$63</c:f>
              <c:numCache>
                <c:ptCount val="51"/>
                <c:pt idx="0">
                  <c:v>2.227129337539432</c:v>
                </c:pt>
                <c:pt idx="1">
                  <c:v>1.3620689655172413</c:v>
                </c:pt>
                <c:pt idx="2">
                  <c:v>2.836241610738255</c:v>
                </c:pt>
                <c:pt idx="3">
                  <c:v>3.52497883149873</c:v>
                </c:pt>
                <c:pt idx="4">
                  <c:v>3.3820224719101124</c:v>
                </c:pt>
                <c:pt idx="5">
                  <c:v>2.666488243440754</c:v>
                </c:pt>
                <c:pt idx="6">
                  <c:v>0.8905556451476675</c:v>
                </c:pt>
                <c:pt idx="7">
                  <c:v>2.6181533646322377</c:v>
                </c:pt>
                <c:pt idx="8">
                  <c:v>2.915531335149864</c:v>
                </c:pt>
                <c:pt idx="9">
                  <c:v>3.3605313092979125</c:v>
                </c:pt>
                <c:pt idx="10">
                  <c:v>3.9234234234234235</c:v>
                </c:pt>
                <c:pt idx="11">
                  <c:v>2.505446623093682</c:v>
                </c:pt>
                <c:pt idx="12">
                  <c:v>3.0646172111194243</c:v>
                </c:pt>
                <c:pt idx="13">
                  <c:v>0.5829540236887298</c:v>
                </c:pt>
                <c:pt idx="14">
                  <c:v>4.587301587301587</c:v>
                </c:pt>
                <c:pt idx="15">
                  <c:v>5.28494623655914</c:v>
                </c:pt>
                <c:pt idx="16">
                  <c:v>4.300127713920817</c:v>
                </c:pt>
                <c:pt idx="17">
                  <c:v>5.028004667444574</c:v>
                </c:pt>
                <c:pt idx="18">
                  <c:v>2.980538922155689</c:v>
                </c:pt>
                <c:pt idx="19">
                  <c:v>4.436183825476361</c:v>
                </c:pt>
                <c:pt idx="20">
                  <c:v>0.8987351483403145</c:v>
                </c:pt>
                <c:pt idx="21">
                  <c:v>3.9542079207920793</c:v>
                </c:pt>
                <c:pt idx="22">
                  <c:v>3.2604790419161676</c:v>
                </c:pt>
                <c:pt idx="23">
                  <c:v>3.86977886977887</c:v>
                </c:pt>
                <c:pt idx="24">
                  <c:v>3.6162988115449917</c:v>
                </c:pt>
                <c:pt idx="25">
                  <c:v>3.3315217391304346</c:v>
                </c:pt>
                <c:pt idx="26">
                  <c:v>3.6064572766325087</c:v>
                </c:pt>
                <c:pt idx="27">
                  <c:v>0.3105060854552497</c:v>
                </c:pt>
                <c:pt idx="32">
                  <c:v>3.3822674418604652</c:v>
                </c:pt>
                <c:pt idx="33">
                  <c:v>3.2590361445783134</c:v>
                </c:pt>
                <c:pt idx="34">
                  <c:v>2.8029661016949152</c:v>
                </c:pt>
                <c:pt idx="35">
                  <c:v>3.047138047138047</c:v>
                </c:pt>
                <c:pt idx="36">
                  <c:v>3.8951612903225805</c:v>
                </c:pt>
                <c:pt idx="37">
                  <c:v>3.2773138051188644</c:v>
                </c:pt>
                <c:pt idx="38">
                  <c:v>0.40959476224016056</c:v>
                </c:pt>
                <c:pt idx="39">
                  <c:v>3.8471986417657047</c:v>
                </c:pt>
                <c:pt idx="40">
                  <c:v>3.9433198380566803</c:v>
                </c:pt>
                <c:pt idx="41">
                  <c:v>3.1782178217821784</c:v>
                </c:pt>
                <c:pt idx="42">
                  <c:v>5.02851711026616</c:v>
                </c:pt>
                <c:pt idx="43">
                  <c:v>2.9964285714285714</c:v>
                </c:pt>
                <c:pt idx="44">
                  <c:v>3.7987363966598586</c:v>
                </c:pt>
                <c:pt idx="45">
                  <c:v>0.8006801347105574</c:v>
                </c:pt>
                <c:pt idx="46">
                  <c:v>4.795069337442219</c:v>
                </c:pt>
                <c:pt idx="47">
                  <c:v>4.0137931034482754</c:v>
                </c:pt>
                <c:pt idx="48">
                  <c:v>3.037174721189591</c:v>
                </c:pt>
                <c:pt idx="49">
                  <c:v>3.5982905982905984</c:v>
                </c:pt>
                <c:pt idx="50">
                  <c:v>3.7985611510791366</c:v>
                </c:pt>
              </c:numCache>
            </c:numRef>
          </c:yVal>
          <c:smooth val="0"/>
        </c:ser>
        <c:axId val="24832498"/>
        <c:axId val="22165891"/>
      </c:scatterChart>
      <c:valAx>
        <c:axId val="2483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165891"/>
        <c:crosses val="autoZero"/>
        <c:crossBetween val="midCat"/>
        <c:dispUnits/>
      </c:valAx>
      <c:valAx>
        <c:axId val="22165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Biotic Index (modified Hilsenhoff)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Percent Chironomidae and Substrate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6"/>
          <c:w val="0.91675"/>
          <c:h val="0.7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'Summary Analysis'!$K$3:$K$63</c:f>
              <c:numCache>
                <c:ptCount val="5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</c:numCache>
            </c:numRef>
          </c:xVal>
          <c:yVal>
            <c:numRef>
              <c:f>'Summary Analysis'!$U$3:$U$63</c:f>
              <c:numCache>
                <c:ptCount val="51"/>
                <c:pt idx="0">
                  <c:v>1.0515247108307046</c:v>
                </c:pt>
                <c:pt idx="1">
                  <c:v>3.4482758620689653</c:v>
                </c:pt>
                <c:pt idx="2">
                  <c:v>1.5436241610738255</c:v>
                </c:pt>
                <c:pt idx="3">
                  <c:v>8.128704487722269</c:v>
                </c:pt>
                <c:pt idx="4">
                  <c:v>21.573033707865168</c:v>
                </c:pt>
                <c:pt idx="5">
                  <c:v>7.149032585912186</c:v>
                </c:pt>
                <c:pt idx="6">
                  <c:v>8.533864476693683</c:v>
                </c:pt>
                <c:pt idx="7">
                  <c:v>21.12676056338028</c:v>
                </c:pt>
                <c:pt idx="8">
                  <c:v>24.795640326975477</c:v>
                </c:pt>
                <c:pt idx="9">
                  <c:v>38.89943074003795</c:v>
                </c:pt>
                <c:pt idx="10">
                  <c:v>60.96096096096096</c:v>
                </c:pt>
                <c:pt idx="11">
                  <c:v>19.607843137254903</c:v>
                </c:pt>
                <c:pt idx="12">
                  <c:v>33.07812714572192</c:v>
                </c:pt>
                <c:pt idx="13">
                  <c:v>17.350960344188557</c:v>
                </c:pt>
                <c:pt idx="14">
                  <c:v>67.12018140589569</c:v>
                </c:pt>
                <c:pt idx="15">
                  <c:v>76.16487455197132</c:v>
                </c:pt>
                <c:pt idx="16">
                  <c:v>63.090676883780326</c:v>
                </c:pt>
                <c:pt idx="17">
                  <c:v>73.16219369894984</c:v>
                </c:pt>
                <c:pt idx="18">
                  <c:v>20.65868263473054</c:v>
                </c:pt>
                <c:pt idx="19">
                  <c:v>60.03932183506555</c:v>
                </c:pt>
                <c:pt idx="20">
                  <c:v>22.597164092556635</c:v>
                </c:pt>
                <c:pt idx="21">
                  <c:v>36.88118811881188</c:v>
                </c:pt>
                <c:pt idx="22">
                  <c:v>14.97005988023952</c:v>
                </c:pt>
                <c:pt idx="23">
                  <c:v>28.992628992628994</c:v>
                </c:pt>
                <c:pt idx="24">
                  <c:v>34.974533106960955</c:v>
                </c:pt>
                <c:pt idx="25">
                  <c:v>26.902173913043477</c:v>
                </c:pt>
                <c:pt idx="26">
                  <c:v>28.544116802336966</c:v>
                </c:pt>
                <c:pt idx="27">
                  <c:v>8.631471093441231</c:v>
                </c:pt>
                <c:pt idx="32">
                  <c:v>21.075581395348838</c:v>
                </c:pt>
                <c:pt idx="33">
                  <c:v>18.072289156626507</c:v>
                </c:pt>
                <c:pt idx="34">
                  <c:v>14.40677966101695</c:v>
                </c:pt>
                <c:pt idx="35">
                  <c:v>30.303030303030305</c:v>
                </c:pt>
                <c:pt idx="36">
                  <c:v>28.225806451612907</c:v>
                </c:pt>
                <c:pt idx="37">
                  <c:v>22.4166973935271</c:v>
                </c:pt>
                <c:pt idx="38">
                  <c:v>6.722560002321429</c:v>
                </c:pt>
                <c:pt idx="39">
                  <c:v>29.20203735144312</c:v>
                </c:pt>
                <c:pt idx="40">
                  <c:v>34.81781376518219</c:v>
                </c:pt>
                <c:pt idx="41">
                  <c:v>18.67043847241867</c:v>
                </c:pt>
                <c:pt idx="42">
                  <c:v>38.78326996197718</c:v>
                </c:pt>
                <c:pt idx="43">
                  <c:v>13.928571428571429</c:v>
                </c:pt>
                <c:pt idx="44">
                  <c:v>27.080426195918516</c:v>
                </c:pt>
                <c:pt idx="45">
                  <c:v>10.547797516968046</c:v>
                </c:pt>
                <c:pt idx="46">
                  <c:v>41.75654853620955</c:v>
                </c:pt>
                <c:pt idx="47">
                  <c:v>28.620689655172416</c:v>
                </c:pt>
                <c:pt idx="48">
                  <c:v>5.018587360594796</c:v>
                </c:pt>
                <c:pt idx="49">
                  <c:v>21.794871794871796</c:v>
                </c:pt>
                <c:pt idx="50">
                  <c:v>17.26618705035971</c:v>
                </c:pt>
              </c:numCache>
            </c:numRef>
          </c:yVal>
          <c:smooth val="0"/>
        </c:ser>
        <c:axId val="65275292"/>
        <c:axId val="50606717"/>
      </c:scatterChart>
      <c:valAx>
        <c:axId val="65275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606717"/>
        <c:crosses val="autoZero"/>
        <c:crossBetween val="midCat"/>
        <c:dispUnits/>
      </c:valAx>
      <c:valAx>
        <c:axId val="5060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Midges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EPT Taxa (all years + sites)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2"/>
          <c:w val="0.911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'Summary Analysis'!$C$151:$C$202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2807270"/>
        <c:axId val="5503383"/>
      </c:scatterChart>
      <c:val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03383"/>
        <c:crosses val="autoZero"/>
        <c:crossBetween val="midCat"/>
        <c:dispUnits/>
      </c:val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Taxa Richness of EPT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Taxa &gt;5 mm Size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175"/>
          <c:w val="0.912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'Summary Analysis'!$D$151:$D$202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9530448"/>
        <c:axId val="43120849"/>
      </c:scatterChart>
      <c:val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120849"/>
        <c:crosses val="autoZero"/>
        <c:crossBetween val="midCat"/>
        <c:dispUnits/>
      </c:val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Density of Invertbrates &gt;5 mm /m</a:t>
                </a:r>
                <a:r>
                  <a:rPr lang="en-US" cap="none" sz="975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7725"/>
          <c:w val="0.9047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graphs'!$B$13:$F$13</c:f>
              <c:numCache>
                <c:ptCount val="5"/>
                <c:pt idx="0">
                  <c:v>31</c:v>
                </c:pt>
                <c:pt idx="1">
                  <c:v>31</c:v>
                </c:pt>
                <c:pt idx="2">
                  <c:v>38</c:v>
                </c:pt>
                <c:pt idx="3">
                  <c:v>25</c:v>
                </c:pt>
                <c:pt idx="4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graphs'!$G$13:$K$13</c:f>
              <c:numCache>
                <c:ptCount val="5"/>
                <c:pt idx="0">
                  <c:v>38</c:v>
                </c:pt>
                <c:pt idx="1">
                  <c:v>39</c:v>
                </c:pt>
                <c:pt idx="2">
                  <c:v>22</c:v>
                </c:pt>
                <c:pt idx="3">
                  <c:v>39</c:v>
                </c:pt>
                <c:pt idx="4">
                  <c:v>32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graphs'!$L$13:$P$13</c:f>
              <c:numCache>
                <c:ptCount val="5"/>
                <c:pt idx="0">
                  <c:v>34</c:v>
                </c:pt>
                <c:pt idx="1">
                  <c:v>35</c:v>
                </c:pt>
                <c:pt idx="2">
                  <c:v>38</c:v>
                </c:pt>
                <c:pt idx="3">
                  <c:v>40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graphs'!$Q$13:$U$13</c:f>
              <c:numCache>
                <c:ptCount val="5"/>
                <c:pt idx="0">
                  <c:v>23</c:v>
                </c:pt>
                <c:pt idx="1">
                  <c:v>32</c:v>
                </c:pt>
                <c:pt idx="2">
                  <c:v>37</c:v>
                </c:pt>
                <c:pt idx="3">
                  <c:v>28</c:v>
                </c:pt>
                <c:pt idx="4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graphs'!$V$13:$Z$13</c:f>
              <c:numCache>
                <c:ptCount val="5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graphs'!$AA$13:$AE$13</c:f>
              <c:numCache>
                <c:ptCount val="5"/>
                <c:pt idx="0">
                  <c:v>36</c:v>
                </c:pt>
                <c:pt idx="1">
                  <c:v>36</c:v>
                </c:pt>
                <c:pt idx="2">
                  <c:v>35</c:v>
                </c:pt>
                <c:pt idx="3">
                  <c:v>31</c:v>
                </c:pt>
                <c:pt idx="4">
                  <c:v>31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graphs'!$AF$13:$AJ$13</c:f>
              <c:numCache>
                <c:ptCount val="5"/>
                <c:pt idx="0">
                  <c:v>32</c:v>
                </c:pt>
                <c:pt idx="1">
                  <c:v>32</c:v>
                </c:pt>
                <c:pt idx="2">
                  <c:v>28</c:v>
                </c:pt>
                <c:pt idx="3">
                  <c:v>32</c:v>
                </c:pt>
                <c:pt idx="4">
                  <c:v>22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crossBetween val="midCat"/>
        <c:dispUnits/>
        <c:majorUnit val="20"/>
      </c:valAx>
      <c:valAx>
        <c:axId val="2185562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4148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02675"/>
          <c:w val="0.68175"/>
          <c:h val="0.174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Total Taxa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15"/>
          <c:w val="0.912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Analysis'!$E$151:$E$203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52543322"/>
        <c:axId val="3127851"/>
      </c:scatterChart>
      <c:val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27851"/>
        <c:crosses val="autoZero"/>
        <c:crossBetween val="midCat"/>
        <c:dispUnits/>
      </c:val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Total Taxa Richness per Sample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Dominant Taxon (all years + sites)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125"/>
          <c:w val="0.91225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Analysis'!$B$151:$B$203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Analysis'!$F$151:$F$203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28150660"/>
        <c:axId val="52029349"/>
      </c:scatterChart>
      <c:val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029349"/>
        <c:crosses val="autoZero"/>
        <c:crossBetween val="midCat"/>
        <c:dispUnits/>
      </c:valAx>
      <c:valAx>
        <c:axId val="5202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Proportion of Dominant Taxon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Midge Richness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3"/>
          <c:w val="0.911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Analysis'!$C$207:$C$259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65610958"/>
        <c:axId val="53627711"/>
      </c:scatterChart>
      <c:valAx>
        <c:axId val="65610958"/>
        <c:scaling>
          <c:orientation val="minMax"/>
        </c:scaling>
        <c:axPos val="b"/>
        <c:delete val="1"/>
        <c:majorTickMark val="out"/>
        <c:minorTickMark val="none"/>
        <c:tickLblPos val="nextTo"/>
        <c:crossAx val="53627711"/>
        <c:crosses val="autoZero"/>
        <c:crossBetween val="midCat"/>
        <c:dispUnits/>
      </c:valAx>
      <c:valAx>
        <c:axId val="5362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Midge Taxa Richness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Midge Percent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7275"/>
          <c:w val="0.9117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Analysis'!$D$207:$D$259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12887352"/>
        <c:axId val="48877305"/>
      </c:scatterChart>
      <c:valAx>
        <c:axId val="12887352"/>
        <c:scaling>
          <c:orientation val="minMax"/>
        </c:scaling>
        <c:axPos val="b"/>
        <c:delete val="1"/>
        <c:majorTickMark val="out"/>
        <c:minorTickMark val="none"/>
        <c:tickLblPos val="nextTo"/>
        <c:crossAx val="48877305"/>
        <c:crosses val="autoZero"/>
        <c:crossBetween val="midCat"/>
        <c:dispUnits/>
      </c:valAx>
      <c:valAx>
        <c:axId val="48877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Midge Taxa Percentage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Creek: Substrates and Biotic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725"/>
          <c:w val="0.91175"/>
          <c:h val="0.8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'Summary Analysis'!$B$207:$B$259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'Summary Analysis'!$E$207:$E$259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7603"/>
        <c:crosses val="autoZero"/>
        <c:crossBetween val="midCat"/>
        <c:dispUnits/>
      </c:valAx>
      <c:valAx>
        <c:axId val="6674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Biotic Index per Sample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Total Taxa Richness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225"/>
          <c:w val="0.923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Analysis'!$AD$31:$AD$52</c:f>
                <c:numCache>
                  <c:ptCount val="22"/>
                  <c:pt idx="0">
                    <c:v>3.7815340802378015</c:v>
                  </c:pt>
                  <c:pt idx="1">
                    <c:v>4.722287581247033</c:v>
                  </c:pt>
                  <c:pt idx="2">
                    <c:v>NaN</c:v>
                  </c:pt>
                  <c:pt idx="3">
                    <c:v>7.436396977031279</c:v>
                  </c:pt>
                  <c:pt idx="4">
                    <c:v>4.266145801540314</c:v>
                  </c:pt>
                  <c:pt idx="5">
                    <c:v>NaN</c:v>
                  </c:pt>
                  <c:pt idx="6">
                    <c:v>4.560701700396547</c:v>
                  </c:pt>
                  <c:pt idx="7">
                    <c:v>1.4142135623730951</c:v>
                  </c:pt>
                  <c:pt idx="8">
                    <c:v>NaN</c:v>
                  </c:pt>
                  <c:pt idx="9">
                    <c:v>9.082951062292475</c:v>
                  </c:pt>
                  <c:pt idx="10">
                    <c:v>4.868264577855239</c:v>
                  </c:pt>
                  <c:pt idx="11">
                    <c:v>NaN</c:v>
                  </c:pt>
                  <c:pt idx="12">
                    <c:v>6.841052550594841</c:v>
                  </c:pt>
                  <c:pt idx="13">
                    <c:v>4.06201920231798</c:v>
                  </c:pt>
                  <c:pt idx="14">
                    <c:v>NaN</c:v>
                  </c:pt>
                  <c:pt idx="15">
                    <c:v>4.0249223594996275</c:v>
                  </c:pt>
                  <c:pt idx="16">
                    <c:v>4.615192303685726</c:v>
                  </c:pt>
                  <c:pt idx="17">
                    <c:v>NaN</c:v>
                  </c:pt>
                  <c:pt idx="18">
                    <c:v>5.549774770204659</c:v>
                  </c:pt>
                  <c:pt idx="19">
                    <c:v>7.245688373094719</c:v>
                  </c:pt>
                  <c:pt idx="20">
                    <c:v>NaN</c:v>
                  </c:pt>
                  <c:pt idx="21">
                    <c:v>3.577708763999657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Analysis'!$AD$7:$AD$30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Mean # of Taxa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EPT Taxa Richness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975"/>
          <c:w val="0.926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Analysis'!$AE$31:$AE$52</c:f>
                <c:numCache>
                  <c:ptCount val="22"/>
                  <c:pt idx="0">
                    <c:v>2.4083189157584615</c:v>
                  </c:pt>
                  <c:pt idx="1">
                    <c:v>2.8635642126552687</c:v>
                  </c:pt>
                  <c:pt idx="2">
                    <c:v>NaN</c:v>
                  </c:pt>
                  <c:pt idx="3">
                    <c:v>3.2863353450309982</c:v>
                  </c:pt>
                  <c:pt idx="4">
                    <c:v>2.073644135332775</c:v>
                  </c:pt>
                  <c:pt idx="5">
                    <c:v>NaN</c:v>
                  </c:pt>
                  <c:pt idx="6">
                    <c:v>3.1304951684997073</c:v>
                  </c:pt>
                  <c:pt idx="7">
                    <c:v>2.2803508501982734</c:v>
                  </c:pt>
                  <c:pt idx="8">
                    <c:v>NaN</c:v>
                  </c:pt>
                  <c:pt idx="9">
                    <c:v>5.079370039680119</c:v>
                  </c:pt>
                  <c:pt idx="10">
                    <c:v>4.086563348340508</c:v>
                  </c:pt>
                  <c:pt idx="11">
                    <c:v>NaN</c:v>
                  </c:pt>
                  <c:pt idx="12">
                    <c:v>2.5884358211089546</c:v>
                  </c:pt>
                  <c:pt idx="13">
                    <c:v>0.4472135954999452</c:v>
                  </c:pt>
                  <c:pt idx="14">
                    <c:v>NaN</c:v>
                  </c:pt>
                  <c:pt idx="15">
                    <c:v>2.0493901531919168</c:v>
                  </c:pt>
                  <c:pt idx="16">
                    <c:v>2.5884358211089546</c:v>
                  </c:pt>
                  <c:pt idx="17">
                    <c:v>NaN</c:v>
                  </c:pt>
                  <c:pt idx="18">
                    <c:v>2.5884358211089546</c:v>
                  </c:pt>
                  <c:pt idx="19">
                    <c:v>3.2093613071762443</c:v>
                  </c:pt>
                  <c:pt idx="20">
                    <c:v>NaN</c:v>
                  </c:pt>
                  <c:pt idx="21">
                    <c:v>0.8944271909999222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Analysis'!$AE$7:$AE$30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Mean # of EPT Taxa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Density of Larger Body Sizes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075"/>
          <c:w val="0.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333333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Analysis'!$AF$31:$AF$52</c:f>
                <c:numCache>
                  <c:ptCount val="22"/>
                  <c:pt idx="0">
                    <c:v>183.1855016097071</c:v>
                  </c:pt>
                  <c:pt idx="1">
                    <c:v>111.54134659398733</c:v>
                  </c:pt>
                  <c:pt idx="2">
                    <c:v>NaN</c:v>
                  </c:pt>
                  <c:pt idx="3">
                    <c:v>141.33806281394882</c:v>
                  </c:pt>
                  <c:pt idx="4">
                    <c:v>302.876133097344</c:v>
                  </c:pt>
                  <c:pt idx="5">
                    <c:v>NaN</c:v>
                  </c:pt>
                  <c:pt idx="6">
                    <c:v>429.3077259444041</c:v>
                  </c:pt>
                  <c:pt idx="7">
                    <c:v>525.366415202021</c:v>
                  </c:pt>
                  <c:pt idx="8">
                    <c:v>NaN</c:v>
                  </c:pt>
                  <c:pt idx="9">
                    <c:v>184.7148802885138</c:v>
                  </c:pt>
                  <c:pt idx="10">
                    <c:v>401.7866100307474</c:v>
                  </c:pt>
                  <c:pt idx="11">
                    <c:v>NaN</c:v>
                  </c:pt>
                  <c:pt idx="12">
                    <c:v>389.6646352955321</c:v>
                  </c:pt>
                  <c:pt idx="13">
                    <c:v>189.9941893848336</c:v>
                  </c:pt>
                  <c:pt idx="14">
                    <c:v>NaN</c:v>
                  </c:pt>
                  <c:pt idx="15">
                    <c:v>440.3894680343252</c:v>
                  </c:pt>
                  <c:pt idx="16">
                    <c:v>345.8685376459289</c:v>
                  </c:pt>
                  <c:pt idx="17">
                    <c:v>NaN</c:v>
                  </c:pt>
                  <c:pt idx="18">
                    <c:v>184.37735218838543</c:v>
                  </c:pt>
                  <c:pt idx="19">
                    <c:v>136.28863488934067</c:v>
                  </c:pt>
                  <c:pt idx="20">
                    <c:v>NaN</c:v>
                  </c:pt>
                  <c:pt idx="21">
                    <c:v>316.6877242121434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Analysis'!$AF$7:$AF$30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Density of Size &gt;5 mm /m</a:t>
                </a:r>
                <a:r>
                  <a:rPr lang="en-US" cap="none" sz="115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Trout Creek: Changes in Dominance of Most Common Taxon</a:t>
            </a:r>
          </a:p>
        </c:rich>
      </c:tx>
      <c:layout>
        <c:manualLayout>
          <c:xMode val="factor"/>
          <c:yMode val="factor"/>
          <c:x val="0.03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15"/>
          <c:w val="0.926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3"/>
            <c:invertIfNegative val="0"/>
            <c:spPr>
              <a:pattFill prst="pct90">
                <a:fgClr>
                  <a:srgbClr val="C0C0C0"/>
                </a:fgClr>
                <a:bgClr>
                  <a:srgbClr val="000000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Pt>
            <c:idx val="10"/>
            <c:invertIfNegative val="0"/>
            <c:spPr>
              <a:solidFill>
                <a:srgbClr val="FFFFFF"/>
              </a:solidFill>
            </c:spPr>
          </c:dP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2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3"/>
            <c:invertIfNegative val="0"/>
            <c:spPr>
              <a:pattFill prst="pct5">
                <a:fgClr>
                  <a:srgbClr val="000000"/>
                </a:fgClr>
                <a:bgClr>
                  <a:srgbClr val="C0C0C0"/>
                </a:bgClr>
              </a:patt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errBars>
            <c:errDir val="y"/>
            <c:errBarType val="plus"/>
            <c:errValType val="cust"/>
            <c:plus>
              <c:numRef>
                <c:f>'Summary Analysis'!$AG$31:$AG$52</c:f>
                <c:numCache>
                  <c:ptCount val="22"/>
                  <c:pt idx="0">
                    <c:v>0.10755470561043175</c:v>
                  </c:pt>
                  <c:pt idx="1">
                    <c:v>0.04545703155114661</c:v>
                  </c:pt>
                  <c:pt idx="2">
                    <c:v>NaN</c:v>
                  </c:pt>
                  <c:pt idx="3">
                    <c:v>0.03377163737907982</c:v>
                  </c:pt>
                  <c:pt idx="4">
                    <c:v>0.02797925840452818</c:v>
                  </c:pt>
                  <c:pt idx="5">
                    <c:v>NaN</c:v>
                  </c:pt>
                  <c:pt idx="6">
                    <c:v>0.04104618377772576</c:v>
                  </c:pt>
                  <c:pt idx="7">
                    <c:v>0.14691077480122855</c:v>
                  </c:pt>
                  <c:pt idx="8">
                    <c:v>NaN</c:v>
                  </c:pt>
                  <c:pt idx="9">
                    <c:v>0.2002406886907683</c:v>
                  </c:pt>
                  <c:pt idx="10">
                    <c:v>0.07484318770713055</c:v>
                  </c:pt>
                  <c:pt idx="11">
                    <c:v>NaN</c:v>
                  </c:pt>
                  <c:pt idx="12">
                    <c:v>0.05803084422014685</c:v>
                  </c:pt>
                  <c:pt idx="13">
                    <c:v>0.04090406263406414</c:v>
                  </c:pt>
                  <c:pt idx="14">
                    <c:v>NaN</c:v>
                  </c:pt>
                  <c:pt idx="15">
                    <c:v>0.06182705167250065</c:v>
                  </c:pt>
                  <c:pt idx="16">
                    <c:v>0.08320486849430307</c:v>
                  </c:pt>
                  <c:pt idx="17">
                    <c:v>NaN</c:v>
                  </c:pt>
                  <c:pt idx="18">
                    <c:v>0.09623795278840705</c:v>
                  </c:pt>
                  <c:pt idx="19">
                    <c:v>0.06161248599109861</c:v>
                  </c:pt>
                  <c:pt idx="20">
                    <c:v>NaN</c:v>
                  </c:pt>
                  <c:pt idx="21">
                    <c:v>0.14569469758170003</c:v>
                  </c:pt>
                </c:numCache>
              </c:numRef>
            </c:plus>
            <c:noEndCap val="0"/>
          </c:errBars>
          <c:cat>
            <c:multiLvlStrRef>
              <c:f>'Summary Analysis'!$Y$7:$Z$30</c:f>
              <c:multiLvlStrCache/>
            </c:multiLvlStrRef>
          </c:cat>
          <c:val>
            <c:numRef>
              <c:f>'Summary Analysis'!$AG$7:$AG$30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Dominance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75"/>
          <c:w val="0.86175"/>
          <c:h val="0.9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fines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habitat'!$B$150:$E$150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sand</c:v>
          </c:tx>
          <c:spPr>
            <a:pattFill prst="wd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habitat'!$B$151:$E$151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gravel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habitat'!$B$152:$E$152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v>pebble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habitat'!$B$153:$E$153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v>cobble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'Physical habitat'!$B$157:$E$158</c:f>
              <c:multiLvlStrCache/>
            </c:multiLvlStrRef>
          </c:cat>
          <c:val>
            <c:numRef>
              <c:f>'Physical habitat'!$B$154:$E$154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254"/>
          <c:w val="0.13975"/>
          <c:h val="0.3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575"/>
          <c:w val="0.903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graphs'!$B$18:$F$18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7</c:v>
                </c:pt>
                <c:pt idx="4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graphs'!$G$18:$K$18</c:f>
              <c:numCache>
                <c:ptCount val="5"/>
                <c:pt idx="0">
                  <c:v>15</c:v>
                </c:pt>
                <c:pt idx="1">
                  <c:v>17</c:v>
                </c:pt>
                <c:pt idx="2">
                  <c:v>7</c:v>
                </c:pt>
                <c:pt idx="3">
                  <c:v>16</c:v>
                </c:pt>
                <c:pt idx="4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graphs'!$L$18:$P$18</c:f>
              <c:numCache>
                <c:ptCount val="5"/>
                <c:pt idx="0">
                  <c:v>9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graphs'!$Q$18:$U$18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16</c:v>
                </c:pt>
                <c:pt idx="3">
                  <c:v>10</c:v>
                </c:pt>
                <c:pt idx="4">
                  <c:v>14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graphs'!$V$18:$Z$18</c:f>
              <c:numCache>
                <c:ptCount val="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graphs'!$AA$18:$AE$18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graphs'!$AF$18:$AJ$18</c:f>
              <c:numCache>
                <c:ptCount val="5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</c:numCache>
            </c:numRef>
          </c:yVal>
          <c:smooth val="0"/>
        </c:ser>
        <c:axId val="62482934"/>
        <c:axId val="25475495"/>
      </c:scatterChart>
      <c:valAx>
        <c:axId val="6248293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crossBetween val="midCat"/>
        <c:dispUnits/>
        <c:majorUnit val="20"/>
      </c:valAx>
      <c:valAx>
        <c:axId val="2547549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EPT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8293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"/>
          <c:y val="0.0065"/>
          <c:w val="0.6755"/>
          <c:h val="0.1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Density &gt;5mm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65"/>
          <c:w val="0.78175"/>
          <c:h val="0.854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graphs'!$B$26:$F$26</c:f>
              <c:numCache>
                <c:ptCount val="5"/>
                <c:pt idx="0">
                  <c:v>266.64</c:v>
                </c:pt>
                <c:pt idx="1">
                  <c:v>711.04</c:v>
                </c:pt>
                <c:pt idx="2">
                  <c:v>1185.0666666666664</c:v>
                </c:pt>
                <c:pt idx="3">
                  <c:v>59.25333333333333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graphs'!$G$26:$K$26</c:f>
              <c:numCache>
                <c:ptCount val="5"/>
                <c:pt idx="0">
                  <c:v>711.04</c:v>
                </c:pt>
                <c:pt idx="1">
                  <c:v>755.48</c:v>
                </c:pt>
                <c:pt idx="2">
                  <c:v>88.88</c:v>
                </c:pt>
                <c:pt idx="3">
                  <c:v>1955.36</c:v>
                </c:pt>
                <c:pt idx="4">
                  <c:v>533.28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graphs'!$L$26:$P$26</c:f>
              <c:numCache>
                <c:ptCount val="5"/>
                <c:pt idx="0">
                  <c:v>444.4</c:v>
                </c:pt>
                <c:pt idx="1">
                  <c:v>444.4</c:v>
                </c:pt>
                <c:pt idx="2">
                  <c:v>1333.2</c:v>
                </c:pt>
                <c:pt idx="3">
                  <c:v>562.9066666666666</c:v>
                </c:pt>
                <c:pt idx="4">
                  <c:v>888.8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graphs'!$Q$26:$U$26</c:f>
              <c:numCache>
                <c:ptCount val="5"/>
                <c:pt idx="0">
                  <c:v>355.52</c:v>
                </c:pt>
                <c:pt idx="1">
                  <c:v>88.88</c:v>
                </c:pt>
                <c:pt idx="2">
                  <c:v>1777.6</c:v>
                </c:pt>
                <c:pt idx="3">
                  <c:v>0</c:v>
                </c:pt>
                <c:pt idx="4">
                  <c:v>474.02666666666664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graphs'!$V$26:$Z$26</c:f>
              <c:numCache>
                <c:ptCount val="5"/>
                <c:pt idx="0">
                  <c:v>711.04</c:v>
                </c:pt>
                <c:pt idx="1">
                  <c:v>355.52</c:v>
                </c:pt>
                <c:pt idx="2">
                  <c:v>355.52</c:v>
                </c:pt>
                <c:pt idx="3">
                  <c:v>88.88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graphs'!$AA$26:$AE$26</c:f>
              <c:numCache>
                <c:ptCount val="5"/>
                <c:pt idx="0">
                  <c:v>111.1</c:v>
                </c:pt>
                <c:pt idx="1">
                  <c:v>222.2</c:v>
                </c:pt>
                <c:pt idx="2">
                  <c:v>177.76</c:v>
                </c:pt>
                <c:pt idx="3">
                  <c:v>266.64</c:v>
                </c:pt>
                <c:pt idx="4">
                  <c:v>533.28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graphs'!$AF$26:$AJ$26</c:f>
              <c:numCache>
                <c:ptCount val="5"/>
                <c:pt idx="0">
                  <c:v>170.6496</c:v>
                </c:pt>
                <c:pt idx="1">
                  <c:v>222.2</c:v>
                </c:pt>
                <c:pt idx="2">
                  <c:v>444.4</c:v>
                </c:pt>
                <c:pt idx="3">
                  <c:v>133.32</c:v>
                </c:pt>
                <c:pt idx="4">
                  <c:v>1022.12</c:v>
                </c:pt>
              </c:numCache>
            </c:numRef>
          </c:yVal>
          <c:smooth val="0"/>
        </c:ser>
        <c:axId val="27952864"/>
        <c:axId val="50249185"/>
      </c:scatterChart>
      <c:valAx>
        <c:axId val="279528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crossBetween val="midCat"/>
        <c:dispUnits/>
        <c:majorUnit val="20"/>
      </c:valAx>
      <c:valAx>
        <c:axId val="5024918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 &gt;5mm (No. 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952864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068"/>
          <c:w val="0.16525"/>
          <c:h val="0.6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7725"/>
          <c:w val="0.8972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graphs'!$B$16:$F$16</c:f>
              <c:numCache>
                <c:ptCount val="5"/>
                <c:pt idx="0">
                  <c:v>4.471476510067114</c:v>
                </c:pt>
                <c:pt idx="1">
                  <c:v>4.640856672158155</c:v>
                </c:pt>
                <c:pt idx="2">
                  <c:v>5.176803394625177</c:v>
                </c:pt>
                <c:pt idx="3">
                  <c:v>5.2672268907563025</c:v>
                </c:pt>
                <c:pt idx="4">
                  <c:v>5.229385307346327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graphs'!$G$16:$K$16</c:f>
              <c:numCache>
                <c:ptCount val="5"/>
                <c:pt idx="0">
                  <c:v>3.2628726287262872</c:v>
                </c:pt>
                <c:pt idx="1">
                  <c:v>3.4731638418079096</c:v>
                </c:pt>
                <c:pt idx="2">
                  <c:v>5.1046099290780145</c:v>
                </c:pt>
                <c:pt idx="3">
                  <c:v>3.0018484288354896</c:v>
                </c:pt>
                <c:pt idx="4">
                  <c:v>4.2095400340715505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graphs'!$L$16:$P$16</c:f>
              <c:numCache>
                <c:ptCount val="5"/>
                <c:pt idx="0">
                  <c:v>4.794754846066135</c:v>
                </c:pt>
                <c:pt idx="1">
                  <c:v>2.8152610441767068</c:v>
                </c:pt>
                <c:pt idx="2">
                  <c:v>3.4926108374384235</c:v>
                </c:pt>
                <c:pt idx="3">
                  <c:v>3.6904761904761907</c:v>
                </c:pt>
                <c:pt idx="4">
                  <c:v>5.527896995708154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graphs'!$Q$16:$U$16</c:f>
              <c:numCache>
                <c:ptCount val="5"/>
                <c:pt idx="0">
                  <c:v>4.8</c:v>
                </c:pt>
                <c:pt idx="1">
                  <c:v>4.996240601503759</c:v>
                </c:pt>
                <c:pt idx="2">
                  <c:v>5.236979166666667</c:v>
                </c:pt>
                <c:pt idx="3">
                  <c:v>4.94661921708185</c:v>
                </c:pt>
                <c:pt idx="4">
                  <c:v>4.7125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graphs'!$V$16:$Z$16</c:f>
              <c:numCache>
                <c:ptCount val="5"/>
                <c:pt idx="0">
                  <c:v>3.4186991869918697</c:v>
                </c:pt>
                <c:pt idx="1">
                  <c:v>4.326923076923077</c:v>
                </c:pt>
                <c:pt idx="2">
                  <c:v>4.154970760233918</c:v>
                </c:pt>
                <c:pt idx="3">
                  <c:v>4.637010676156583</c:v>
                </c:pt>
                <c:pt idx="4">
                  <c:v>5.68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graphs'!$AA$16:$AE$16</c:f>
              <c:numCache>
                <c:ptCount val="5"/>
                <c:pt idx="0">
                  <c:v>4.293838862559242</c:v>
                </c:pt>
                <c:pt idx="1">
                  <c:v>3.7132867132867133</c:v>
                </c:pt>
                <c:pt idx="2">
                  <c:v>3.92578125</c:v>
                </c:pt>
                <c:pt idx="3">
                  <c:v>3.511864406779661</c:v>
                </c:pt>
                <c:pt idx="4">
                  <c:v>4.089108910891089</c:v>
                </c:pt>
              </c:numCache>
            </c:numRef>
          </c:yVal>
          <c:smooth val="0"/>
        </c:ser>
        <c:ser>
          <c:idx val="6"/>
          <c:order val="6"/>
          <c:tx>
            <c:v>Control '08 (beaver pond)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graphs'!$AF$16:$AJ$16</c:f>
              <c:numCache>
                <c:ptCount val="5"/>
                <c:pt idx="0">
                  <c:v>6.024561403508772</c:v>
                </c:pt>
                <c:pt idx="1">
                  <c:v>4.383720930232558</c:v>
                </c:pt>
                <c:pt idx="2">
                  <c:v>5.264705882352941</c:v>
                </c:pt>
                <c:pt idx="3">
                  <c:v>4.716666666666667</c:v>
                </c:pt>
                <c:pt idx="4">
                  <c:v>5.576419213973799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crossBetween val="midCat"/>
        <c:dispUnits/>
        <c:majorUnit val="20"/>
      </c:valAx>
      <c:valAx>
        <c:axId val="436521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Biotic Index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"/>
          <c:y val="0.02575"/>
          <c:w val="0.7275"/>
          <c:h val="0.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Dominant Taxa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68"/>
          <c:w val="0.789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graphs'!$B$17:$F$17</c:f>
              <c:numCache>
                <c:ptCount val="5"/>
                <c:pt idx="0">
                  <c:v>27.348993288590606</c:v>
                </c:pt>
                <c:pt idx="1">
                  <c:v>36.40856672158155</c:v>
                </c:pt>
                <c:pt idx="2">
                  <c:v>26.73267326732673</c:v>
                </c:pt>
                <c:pt idx="3">
                  <c:v>58.99159663865546</c:v>
                </c:pt>
                <c:pt idx="4">
                  <c:v>46.026986506746624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graphs'!$G$17:$K$17</c:f>
              <c:numCache>
                <c:ptCount val="5"/>
                <c:pt idx="0">
                  <c:v>29.40379403794038</c:v>
                </c:pt>
                <c:pt idx="1">
                  <c:v>36.440677966101696</c:v>
                </c:pt>
                <c:pt idx="2">
                  <c:v>52.4822695035461</c:v>
                </c:pt>
                <c:pt idx="3">
                  <c:v>21.44177449168207</c:v>
                </c:pt>
                <c:pt idx="4">
                  <c:v>34.24190800681431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graphs'!$L$17:$P$17</c:f>
              <c:numCache>
                <c:ptCount val="5"/>
                <c:pt idx="0">
                  <c:v>42.98745724059293</c:v>
                </c:pt>
                <c:pt idx="1">
                  <c:v>23.895582329317268</c:v>
                </c:pt>
                <c:pt idx="2">
                  <c:v>23.645320197044335</c:v>
                </c:pt>
                <c:pt idx="3">
                  <c:v>26.87074829931973</c:v>
                </c:pt>
                <c:pt idx="4">
                  <c:v>74.57081545064378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graphs'!$Q$17:$U$17</c:f>
              <c:numCache>
                <c:ptCount val="5"/>
                <c:pt idx="0">
                  <c:v>40.714285714285715</c:v>
                </c:pt>
                <c:pt idx="1">
                  <c:v>24.81203007518797</c:v>
                </c:pt>
                <c:pt idx="2">
                  <c:v>52.604166666666664</c:v>
                </c:pt>
                <c:pt idx="3">
                  <c:v>27.402135231316727</c:v>
                </c:pt>
                <c:pt idx="4">
                  <c:v>31.25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graphs'!$V$17:$Z$17</c:f>
              <c:numCache>
                <c:ptCount val="5"/>
                <c:pt idx="0">
                  <c:v>17.073170731707318</c:v>
                </c:pt>
                <c:pt idx="1">
                  <c:v>49.03846153846154</c:v>
                </c:pt>
                <c:pt idx="2">
                  <c:v>61.40350877192982</c:v>
                </c:pt>
                <c:pt idx="3">
                  <c:v>32.38434163701068</c:v>
                </c:pt>
                <c:pt idx="4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graphs'!$AA$17:$AE$17</c:f>
              <c:numCache>
                <c:ptCount val="5"/>
                <c:pt idx="0">
                  <c:v>22.274881516587676</c:v>
                </c:pt>
                <c:pt idx="1">
                  <c:v>23.426573426573427</c:v>
                </c:pt>
                <c:pt idx="2">
                  <c:v>30.46875</c:v>
                </c:pt>
                <c:pt idx="3">
                  <c:v>44.067796610169495</c:v>
                </c:pt>
                <c:pt idx="4">
                  <c:v>37.62376237623762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graphs'!$AF$17:$AJ$17</c:f>
              <c:numCache>
                <c:ptCount val="5"/>
                <c:pt idx="0">
                  <c:v>21.403508771929825</c:v>
                </c:pt>
                <c:pt idx="1">
                  <c:v>24.031007751937985</c:v>
                </c:pt>
                <c:pt idx="2">
                  <c:v>39.21568627450981</c:v>
                </c:pt>
                <c:pt idx="3">
                  <c:v>22.5</c:v>
                </c:pt>
                <c:pt idx="4">
                  <c:v>27.074235807860262</c:v>
                </c:pt>
              </c:numCache>
            </c:numRef>
          </c:yVal>
          <c:smooth val="0"/>
        </c:ser>
        <c:axId val="57325076"/>
        <c:axId val="46163637"/>
      </c:scatterChart>
      <c:valAx>
        <c:axId val="573250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crossBetween val="midCat"/>
        <c:dispUnits/>
        <c:majorUnit val="20"/>
      </c:valAx>
      <c:valAx>
        <c:axId val="461636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Dominant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05775"/>
          <c:w val="0.157"/>
          <c:h val="0.6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Chironomidae Richness on Fine and Sand Substrates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8"/>
          <c:w val="0.787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Complete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graphs'!$B$22:$F$22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</c:numCache>
            </c:numRef>
          </c:yVal>
          <c:smooth val="0"/>
        </c:ser>
        <c:ser>
          <c:idx val="1"/>
          <c:order val="1"/>
          <c:tx>
            <c:v>Partial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graphs'!$G$36:$K$36</c:f>
              <c:numCache>
                <c:ptCount val="5"/>
                <c:pt idx="0">
                  <c:v>12</c:v>
                </c:pt>
                <c:pt idx="1">
                  <c:v>4</c:v>
                </c:pt>
                <c:pt idx="2">
                  <c:v>92</c:v>
                </c:pt>
                <c:pt idx="3">
                  <c:v>0</c:v>
                </c:pt>
                <c:pt idx="4">
                  <c:v>40</c:v>
                </c:pt>
              </c:numCache>
            </c:numRef>
          </c:xVal>
          <c:yVal>
            <c:numRef>
              <c:f>'quadrat vs FS graphs'!$G$22:$K$22</c:f>
              <c:numCach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v>Control '07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graphs'!$L$36:$P$36</c:f>
              <c:numCache>
                <c:ptCount val="5"/>
                <c:pt idx="0">
                  <c:v>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</c:numCache>
            </c:numRef>
          </c:xVal>
          <c:yVal>
            <c:numRef>
              <c:f>'quadrat vs FS graphs'!$L$22:$P$22</c:f>
              <c:numCache>
                <c:ptCount val="5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Complete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graphs'!$Q$36:$U$36</c:f>
              <c:numCache>
                <c:ptCount val="5"/>
                <c:pt idx="0">
                  <c:v>48</c:v>
                </c:pt>
                <c:pt idx="1">
                  <c:v>100</c:v>
                </c:pt>
                <c:pt idx="2">
                  <c:v>4</c:v>
                </c:pt>
                <c:pt idx="3">
                  <c:v>40</c:v>
                </c:pt>
                <c:pt idx="4">
                  <c:v>64</c:v>
                </c:pt>
              </c:numCache>
            </c:numRef>
          </c:xVal>
          <c:yVal>
            <c:numRef>
              <c:f>'quadrat vs FS graphs'!$Q$22:$U$22</c:f>
              <c:numCache>
                <c:ptCount val="5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</c:numCache>
            </c:numRef>
          </c:yVal>
          <c:smooth val="0"/>
        </c:ser>
        <c:ser>
          <c:idx val="4"/>
          <c:order val="4"/>
          <c:tx>
            <c:v>Partial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'quadrat vs FS graphs'!$V$36:$Z$36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56</c:v>
                </c:pt>
                <c:pt idx="3">
                  <c:v>72</c:v>
                </c:pt>
                <c:pt idx="4">
                  <c:v>100</c:v>
                </c:pt>
              </c:numCache>
            </c:numRef>
          </c:xVal>
          <c:yVal>
            <c:numRef>
              <c:f>'quadrat vs FS graphs'!$V$22:$Z$22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v>Control '08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graphs'!$AA$36:$AE$36</c:f>
              <c:numCache>
                <c:ptCount val="5"/>
                <c:pt idx="0">
                  <c:v>28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4</c:v>
                </c:pt>
              </c:numCache>
            </c:numRef>
          </c:xVal>
          <c:yVal>
            <c:numRef>
              <c:f>'quadrat vs FS graphs'!$AA$22:$AE$22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v>Control '08 (beaver dam)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'quadrat vs FS graphs'!$AF$36:$AJ$36</c:f>
              <c:numCache>
                <c:ptCount val="5"/>
                <c:pt idx="0">
                  <c:v>88</c:v>
                </c:pt>
                <c:pt idx="1">
                  <c:v>68</c:v>
                </c:pt>
                <c:pt idx="2">
                  <c:v>80</c:v>
                </c:pt>
                <c:pt idx="3">
                  <c:v>48</c:v>
                </c:pt>
                <c:pt idx="4">
                  <c:v>100</c:v>
                </c:pt>
              </c:numCache>
            </c:numRef>
          </c:xVal>
          <c:yVal>
            <c:numRef>
              <c:f>'quadrat vs FS graphs'!$AF$22:$AJ$22</c:f>
              <c:numCache>
                <c:ptCount val="5"/>
                <c:pt idx="0">
                  <c:v>12</c:v>
                </c:pt>
                <c:pt idx="1">
                  <c:v>12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</c:numCache>
            </c:numRef>
          </c:yVal>
          <c:smooth val="0"/>
        </c:ser>
        <c:axId val="12819550"/>
        <c:axId val="48267087"/>
      </c:scatterChart>
      <c:valAx>
        <c:axId val="128195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Fines &amp;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crossBetween val="midCat"/>
        <c:dispUnits/>
        <c:majorUnit val="20"/>
      </c:valAx>
      <c:valAx>
        <c:axId val="4826708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Chironomidae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058"/>
          <c:w val="0.15875"/>
          <c:h val="0.68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1.  Trout Creek Taxa Richness (Diversity):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latin typeface="Arial"/>
                <a:ea typeface="Arial"/>
                <a:cs typeface="Arial"/>
              </a:rPr>
              <a:t>Downstream Along Project Area - no pattern between upper and lower project reaches</a:t>
            </a:r>
          </a:p>
        </c:rich>
      </c:tx>
      <c:layout>
        <c:manualLayout>
          <c:xMode val="factor"/>
          <c:yMode val="factor"/>
          <c:x val="-0.07975"/>
          <c:y val="0.05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2325"/>
          <c:w val="0.845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+prelim graphs'!$D$173:$E$173</c:f>
              <c:strCache>
                <c:ptCount val="1"/>
                <c:pt idx="0">
                  <c:v>Richness (sample)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graphs'!$F$173:$Q$173</c:f>
              <c:numCache>
                <c:ptCount val="12"/>
                <c:pt idx="0">
                  <c:v>28</c:v>
                </c:pt>
                <c:pt idx="1">
                  <c:v>14</c:v>
                </c:pt>
                <c:pt idx="2">
                  <c:v>37</c:v>
                </c:pt>
                <c:pt idx="3">
                  <c:v>36</c:v>
                </c:pt>
                <c:pt idx="4">
                  <c:v>24</c:v>
                </c:pt>
                <c:pt idx="5">
                  <c:v>27.8</c:v>
                </c:pt>
                <c:pt idx="6">
                  <c:v>9.444575162494079</c:v>
                </c:pt>
                <c:pt idx="7">
                  <c:v>28</c:v>
                </c:pt>
                <c:pt idx="8">
                  <c:v>20</c:v>
                </c:pt>
                <c:pt idx="9">
                  <c:v>22</c:v>
                </c:pt>
                <c:pt idx="10">
                  <c:v>26</c:v>
                </c:pt>
                <c:pt idx="1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'Data +prelim graphs'!$D$174:$E$174</c:f>
              <c:strCache>
                <c:ptCount val="1"/>
                <c:pt idx="0">
                  <c:v>Richness (sample)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+prelim graphs'!$F$169:$Q$169</c:f>
              <c:strCache>
                <c:ptCount val="12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4358</c:v>
                </c:pt>
                <c:pt idx="7">
                  <c:v>T6</c:v>
                </c:pt>
                <c:pt idx="8">
                  <c:v>T7</c:v>
                </c:pt>
                <c:pt idx="9">
                  <c:v>T8</c:v>
                </c:pt>
                <c:pt idx="10">
                  <c:v>T9</c:v>
                </c:pt>
                <c:pt idx="11">
                  <c:v>T10</c:v>
                </c:pt>
              </c:strCache>
            </c:strRef>
          </c:cat>
          <c:val>
            <c:numRef>
              <c:f>'Data +prelim graphs'!$F$174:$Q$174</c:f>
              <c:numCache>
                <c:ptCount val="12"/>
              </c:numCache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Downstream Site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Richness (# of Taxa)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825"/>
          <c:y val="0.02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Relationship Id="rId13" Type="http://schemas.openxmlformats.org/officeDocument/2006/relationships/chart" Target="/xl/charts/chart34.xml" /><Relationship Id="rId14" Type="http://schemas.openxmlformats.org/officeDocument/2006/relationships/chart" Target="/xl/charts/chart35.xml" /><Relationship Id="rId15" Type="http://schemas.openxmlformats.org/officeDocument/2006/relationships/chart" Target="/xl/charts/chart36.xml" /><Relationship Id="rId16" Type="http://schemas.openxmlformats.org/officeDocument/2006/relationships/chart" Target="/xl/charts/chart37.xml" /><Relationship Id="rId17" Type="http://schemas.openxmlformats.org/officeDocument/2006/relationships/chart" Target="/xl/charts/chart3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36</xdr:row>
      <xdr:rowOff>104775</xdr:rowOff>
    </xdr:from>
    <xdr:to>
      <xdr:col>12</xdr:col>
      <xdr:colOff>28575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104900" y="5943600"/>
        <a:ext cx="59817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304800</xdr:colOff>
      <xdr:row>36</xdr:row>
      <xdr:rowOff>114300</xdr:rowOff>
    </xdr:from>
    <xdr:to>
      <xdr:col>29</xdr:col>
      <xdr:colOff>152400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7858125" y="5953125"/>
        <a:ext cx="7772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1095375</xdr:colOff>
      <xdr:row>58</xdr:row>
      <xdr:rowOff>114300</xdr:rowOff>
    </xdr:from>
    <xdr:to>
      <xdr:col>11</xdr:col>
      <xdr:colOff>485775</xdr:colOff>
      <xdr:row>82</xdr:row>
      <xdr:rowOff>38100</xdr:rowOff>
    </xdr:to>
    <xdr:graphicFrame>
      <xdr:nvGraphicFramePr>
        <xdr:cNvPr id="3" name="Chart 3"/>
        <xdr:cNvGraphicFramePr/>
      </xdr:nvGraphicFramePr>
      <xdr:xfrm>
        <a:off x="1095375" y="9515475"/>
        <a:ext cx="59531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304800</xdr:colOff>
      <xdr:row>58</xdr:row>
      <xdr:rowOff>76200</xdr:rowOff>
    </xdr:from>
    <xdr:to>
      <xdr:col>26</xdr:col>
      <xdr:colOff>142875</xdr:colOff>
      <xdr:row>82</xdr:row>
      <xdr:rowOff>104775</xdr:rowOff>
    </xdr:to>
    <xdr:graphicFrame>
      <xdr:nvGraphicFramePr>
        <xdr:cNvPr id="4" name="Chart 4"/>
        <xdr:cNvGraphicFramePr/>
      </xdr:nvGraphicFramePr>
      <xdr:xfrm>
        <a:off x="7858125" y="9477375"/>
        <a:ext cx="62769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142875</xdr:rowOff>
    </xdr:from>
    <xdr:to>
      <xdr:col>12</xdr:col>
      <xdr:colOff>409575</xdr:colOff>
      <xdr:row>104</xdr:row>
      <xdr:rowOff>123825</xdr:rowOff>
    </xdr:to>
    <xdr:graphicFrame>
      <xdr:nvGraphicFramePr>
        <xdr:cNvPr id="5" name="Chart 5"/>
        <xdr:cNvGraphicFramePr/>
      </xdr:nvGraphicFramePr>
      <xdr:xfrm>
        <a:off x="0" y="13592175"/>
        <a:ext cx="746760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276225</xdr:colOff>
      <xdr:row>83</xdr:row>
      <xdr:rowOff>38100</xdr:rowOff>
    </xdr:from>
    <xdr:to>
      <xdr:col>26</xdr:col>
      <xdr:colOff>123825</xdr:colOff>
      <xdr:row>107</xdr:row>
      <xdr:rowOff>114300</xdr:rowOff>
    </xdr:to>
    <xdr:graphicFrame>
      <xdr:nvGraphicFramePr>
        <xdr:cNvPr id="6" name="Chart 6"/>
        <xdr:cNvGraphicFramePr/>
      </xdr:nvGraphicFramePr>
      <xdr:xfrm>
        <a:off x="7829550" y="13487400"/>
        <a:ext cx="628650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108</xdr:row>
      <xdr:rowOff>104775</xdr:rowOff>
    </xdr:from>
    <xdr:to>
      <xdr:col>13</xdr:col>
      <xdr:colOff>295275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0" y="17602200"/>
        <a:ext cx="784860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371475</xdr:colOff>
      <xdr:row>108</xdr:row>
      <xdr:rowOff>114300</xdr:rowOff>
    </xdr:from>
    <xdr:to>
      <xdr:col>29</xdr:col>
      <xdr:colOff>209550</xdr:colOff>
      <xdr:row>129</xdr:row>
      <xdr:rowOff>19050</xdr:rowOff>
    </xdr:to>
    <xdr:graphicFrame>
      <xdr:nvGraphicFramePr>
        <xdr:cNvPr id="8" name="Chart 8"/>
        <xdr:cNvGraphicFramePr/>
      </xdr:nvGraphicFramePr>
      <xdr:xfrm>
        <a:off x="7924800" y="17611725"/>
        <a:ext cx="77628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0.844</cdr:y>
    </cdr:from>
    <cdr:to>
      <cdr:x>0.39775</cdr:x>
      <cdr:y>0.9095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26955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0.5525</cdr:x>
      <cdr:y>0.82875</cdr:y>
    </cdr:from>
    <cdr:to>
      <cdr:x>0.6555</cdr:x>
      <cdr:y>0.94475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264795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0.801</cdr:x>
      <cdr:y>0.82875</cdr:y>
    </cdr:from>
    <cdr:to>
      <cdr:x>0.911</cdr:x>
      <cdr:y>0.94475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264795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0.8505</cdr:y>
    </cdr:from>
    <cdr:to>
      <cdr:x>0.386</cdr:x>
      <cdr:y>0.91575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7241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0.5495</cdr:x>
      <cdr:y>0.82925</cdr:y>
    </cdr:from>
    <cdr:to>
      <cdr:x>0.65225</cdr:x>
      <cdr:y>0.945</cdr:y>
    </cdr:to>
    <cdr:sp>
      <cdr:nvSpPr>
        <cdr:cNvPr id="2" name="TextBox 2"/>
        <cdr:cNvSpPr txBox="1">
          <a:spLocks noChangeArrowheads="1"/>
        </cdr:cNvSpPr>
      </cdr:nvSpPr>
      <cdr:spPr>
        <a:xfrm>
          <a:off x="2943225" y="26574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0.796</cdr:x>
      <cdr:y>0.82925</cdr:y>
    </cdr:from>
    <cdr:to>
      <cdr:x>0.906</cdr:x>
      <cdr:y>0.945</cdr:y>
    </cdr:to>
    <cdr:sp>
      <cdr:nvSpPr>
        <cdr:cNvPr id="3" name="TextBox 3"/>
        <cdr:cNvSpPr txBox="1">
          <a:spLocks noChangeArrowheads="1"/>
        </cdr:cNvSpPr>
      </cdr:nvSpPr>
      <cdr:spPr>
        <a:xfrm>
          <a:off x="4267200" y="265747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0.82975</cdr:y>
    </cdr:from>
    <cdr:to>
      <cdr:x>0.376</cdr:x>
      <cdr:y>0.89475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6670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0.53875</cdr:x>
      <cdr:y>0.82975</cdr:y>
    </cdr:from>
    <cdr:to>
      <cdr:x>0.6415</cdr:x>
      <cdr:y>0.94525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266700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0.795</cdr:x>
      <cdr:y>0.82975</cdr:y>
    </cdr:from>
    <cdr:to>
      <cdr:x>0.90475</cdr:x>
      <cdr:y>0.94525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266700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0.8455</cdr:y>
    </cdr:from>
    <cdr:to>
      <cdr:x>0.405</cdr:x>
      <cdr:y>0.9105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27241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0.56175</cdr:x>
      <cdr:y>0.83025</cdr:y>
    </cdr:from>
    <cdr:to>
      <cdr:x>0.66425</cdr:x>
      <cdr:y>0.94525</cdr:y>
    </cdr:to>
    <cdr:sp>
      <cdr:nvSpPr>
        <cdr:cNvPr id="2" name="TextBox 2"/>
        <cdr:cNvSpPr txBox="1">
          <a:spLocks noChangeArrowheads="1"/>
        </cdr:cNvSpPr>
      </cdr:nvSpPr>
      <cdr:spPr>
        <a:xfrm>
          <a:off x="3019425" y="267652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0.8045</cdr:x>
      <cdr:y>0.83025</cdr:y>
    </cdr:from>
    <cdr:to>
      <cdr:x>0.914</cdr:x>
      <cdr:y>0.94525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267652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</cdr:x>
      <cdr:y>0.83725</cdr:y>
    </cdr:from>
    <cdr:to>
      <cdr:x>0.922</cdr:x>
      <cdr:y>0.963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246697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0.56175</cdr:x>
      <cdr:y>0.83725</cdr:y>
    </cdr:from>
    <cdr:to>
      <cdr:x>0.6645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24669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0.33725</cdr:x>
      <cdr:y>0.85375</cdr:y>
    </cdr:from>
    <cdr:to>
      <cdr:x>0.4065</cdr:x>
      <cdr:y>0.92475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25146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0.82025</cdr:x>
      <cdr:y>0.83775</cdr:y>
    </cdr:from>
    <cdr:to>
      <cdr:x>0.93</cdr:x>
      <cdr:y>0.96325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247650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0.583</cdr:x>
      <cdr:y>0.83775</cdr:y>
    </cdr:from>
    <cdr:to>
      <cdr:x>0.68575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133725" y="2476500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0.3695</cdr:x>
      <cdr:y>0.85425</cdr:y>
    </cdr:from>
    <cdr:to>
      <cdr:x>0.4385</cdr:x>
      <cdr:y>0.925</cdr:y>
    </cdr:to>
    <cdr:sp>
      <cdr:nvSpPr>
        <cdr:cNvPr id="3" name="TextBox 3"/>
        <cdr:cNvSpPr txBox="1">
          <a:spLocks noChangeArrowheads="1"/>
        </cdr:cNvSpPr>
      </cdr:nvSpPr>
      <cdr:spPr>
        <a:xfrm>
          <a:off x="1981200" y="252412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0.83825</cdr:y>
    </cdr:from>
    <cdr:to>
      <cdr:x>0.92425</cdr:x>
      <cdr:y>0.96325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486025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Gravel
&amp; Cobble</a:t>
          </a:r>
        </a:p>
      </cdr:txBody>
    </cdr:sp>
  </cdr:relSizeAnchor>
  <cdr:relSizeAnchor xmlns:cdr="http://schemas.openxmlformats.org/drawingml/2006/chartDrawing">
    <cdr:from>
      <cdr:x>0.56875</cdr:x>
      <cdr:y>0.83825</cdr:y>
    </cdr:from>
    <cdr:to>
      <cdr:x>0.67125</cdr:x>
      <cdr:y>0.96325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248602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
&amp; Gravel</a:t>
          </a:r>
        </a:p>
      </cdr:txBody>
    </cdr:sp>
  </cdr:relSizeAnchor>
  <cdr:relSizeAnchor xmlns:cdr="http://schemas.openxmlformats.org/drawingml/2006/chartDrawing">
    <cdr:from>
      <cdr:x>0.348</cdr:x>
      <cdr:y>0.85475</cdr:y>
    </cdr:from>
    <cdr:to>
      <cdr:x>0.417</cdr:x>
      <cdr:y>0.92525</cdr:y>
    </cdr:to>
    <cdr:sp>
      <cdr:nvSpPr>
        <cdr:cNvPr id="3" name="TextBox 3"/>
        <cdr:cNvSpPr txBox="1">
          <a:spLocks noChangeArrowheads="1"/>
        </cdr:cNvSpPr>
      </cdr:nvSpPr>
      <cdr:spPr>
        <a:xfrm>
          <a:off x="1866900" y="253365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0.7935</cdr:y>
    </cdr:from>
    <cdr:to>
      <cdr:x>0.9515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2524125"/>
          <a:ext cx="2857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0.78325</cdr:y>
    </cdr:from>
    <cdr:to>
      <cdr:x>0.94875</cdr:x>
      <cdr:y>0.90225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2514600"/>
          <a:ext cx="2857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0.81525</cdr:y>
    </cdr:from>
    <cdr:to>
      <cdr:x>0.95425</cdr:x>
      <cdr:y>0.922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2600325"/>
          <a:ext cx="2857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0.7745</cdr:y>
    </cdr:from>
    <cdr:to>
      <cdr:x>0.24975</cdr:x>
      <cdr:y>0.84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</a:t>
          </a:r>
        </a:p>
      </cdr:txBody>
    </cdr:sp>
  </cdr:relSizeAnchor>
  <cdr:relSizeAnchor xmlns:cdr="http://schemas.openxmlformats.org/drawingml/2006/chartDrawing">
    <cdr:from>
      <cdr:x>0.40725</cdr:x>
      <cdr:y>0.7745</cdr:y>
    </cdr:from>
    <cdr:to>
      <cdr:x>0.47475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</a:t>
          </a:r>
        </a:p>
      </cdr:txBody>
    </cdr:sp>
  </cdr:relSizeAnchor>
  <cdr:relSizeAnchor xmlns:cdr="http://schemas.openxmlformats.org/drawingml/2006/chartDrawing">
    <cdr:from>
      <cdr:x>0.62125</cdr:x>
      <cdr:y>0.7745</cdr:y>
    </cdr:from>
    <cdr:to>
      <cdr:x>0.688</cdr:x>
      <cdr:y>0.84</cdr:y>
    </cdr:to>
    <cdr:sp>
      <cdr:nvSpPr>
        <cdr:cNvPr id="3" name="TextBox 3"/>
        <cdr:cNvSpPr txBox="1">
          <a:spLocks noChangeArrowheads="1"/>
        </cdr:cNvSpPr>
      </cdr:nvSpPr>
      <cdr:spPr>
        <a:xfrm>
          <a:off x="2905125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</a:t>
          </a:r>
        </a:p>
      </cdr:txBody>
    </cdr:sp>
  </cdr:relSizeAnchor>
  <cdr:relSizeAnchor xmlns:cdr="http://schemas.openxmlformats.org/drawingml/2006/chartDrawing">
    <cdr:from>
      <cdr:x>0.83275</cdr:x>
      <cdr:y>0.7745</cdr:y>
    </cdr:from>
    <cdr:to>
      <cdr:x>0.8995</cdr:x>
      <cdr:y>0.84</cdr:y>
    </cdr:to>
    <cdr:sp>
      <cdr:nvSpPr>
        <cdr:cNvPr id="4" name="TextBox 4"/>
        <cdr:cNvSpPr txBox="1">
          <a:spLocks noChangeArrowheads="1"/>
        </cdr:cNvSpPr>
      </cdr:nvSpPr>
      <cdr:spPr>
        <a:xfrm>
          <a:off x="3886200" y="2971800"/>
          <a:ext cx="3143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0.80325</cdr:y>
    </cdr:from>
    <cdr:to>
      <cdr:x>0.95425</cdr:x>
      <cdr:y>0.9195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2524125"/>
          <a:ext cx="2857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99</xdr:row>
      <xdr:rowOff>19050</xdr:rowOff>
    </xdr:from>
    <xdr:to>
      <xdr:col>16</xdr:col>
      <xdr:colOff>371475</xdr:colOff>
      <xdr:row>117</xdr:row>
      <xdr:rowOff>114300</xdr:rowOff>
    </xdr:to>
    <xdr:graphicFrame>
      <xdr:nvGraphicFramePr>
        <xdr:cNvPr id="1" name="Chart 1"/>
        <xdr:cNvGraphicFramePr/>
      </xdr:nvGraphicFramePr>
      <xdr:xfrm>
        <a:off x="5686425" y="16087725"/>
        <a:ext cx="5019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495300</xdr:colOff>
      <xdr:row>99</xdr:row>
      <xdr:rowOff>19050</xdr:rowOff>
    </xdr:from>
    <xdr:to>
      <xdr:col>25</xdr:col>
      <xdr:colOff>285750</xdr:colOff>
      <xdr:row>117</xdr:row>
      <xdr:rowOff>123825</xdr:rowOff>
    </xdr:to>
    <xdr:graphicFrame>
      <xdr:nvGraphicFramePr>
        <xdr:cNvPr id="2" name="Chart 2"/>
        <xdr:cNvGraphicFramePr/>
      </xdr:nvGraphicFramePr>
      <xdr:xfrm>
        <a:off x="10829925" y="16087725"/>
        <a:ext cx="60769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514350</xdr:colOff>
      <xdr:row>118</xdr:row>
      <xdr:rowOff>9525</xdr:rowOff>
    </xdr:from>
    <xdr:to>
      <xdr:col>25</xdr:col>
      <xdr:colOff>285750</xdr:colOff>
      <xdr:row>136</xdr:row>
      <xdr:rowOff>104775</xdr:rowOff>
    </xdr:to>
    <xdr:graphicFrame>
      <xdr:nvGraphicFramePr>
        <xdr:cNvPr id="3" name="Chart 3"/>
        <xdr:cNvGraphicFramePr/>
      </xdr:nvGraphicFramePr>
      <xdr:xfrm>
        <a:off x="10848975" y="19154775"/>
        <a:ext cx="60579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523875</xdr:colOff>
      <xdr:row>137</xdr:row>
      <xdr:rowOff>9525</xdr:rowOff>
    </xdr:from>
    <xdr:to>
      <xdr:col>25</xdr:col>
      <xdr:colOff>285750</xdr:colOff>
      <xdr:row>155</xdr:row>
      <xdr:rowOff>133350</xdr:rowOff>
    </xdr:to>
    <xdr:graphicFrame>
      <xdr:nvGraphicFramePr>
        <xdr:cNvPr id="4" name="Chart 4"/>
        <xdr:cNvGraphicFramePr/>
      </xdr:nvGraphicFramePr>
      <xdr:xfrm>
        <a:off x="10858500" y="22250400"/>
        <a:ext cx="60483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156</xdr:row>
      <xdr:rowOff>95250</xdr:rowOff>
    </xdr:from>
    <xdr:to>
      <xdr:col>25</xdr:col>
      <xdr:colOff>276225</xdr:colOff>
      <xdr:row>174</xdr:row>
      <xdr:rowOff>152400</xdr:rowOff>
    </xdr:to>
    <xdr:graphicFrame>
      <xdr:nvGraphicFramePr>
        <xdr:cNvPr id="5" name="Chart 5"/>
        <xdr:cNvGraphicFramePr/>
      </xdr:nvGraphicFramePr>
      <xdr:xfrm>
        <a:off x="10858500" y="25431750"/>
        <a:ext cx="60388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533400</xdr:colOff>
      <xdr:row>175</xdr:row>
      <xdr:rowOff>57150</xdr:rowOff>
    </xdr:from>
    <xdr:to>
      <xdr:col>25</xdr:col>
      <xdr:colOff>276225</xdr:colOff>
      <xdr:row>194</xdr:row>
      <xdr:rowOff>152400</xdr:rowOff>
    </xdr:to>
    <xdr:graphicFrame>
      <xdr:nvGraphicFramePr>
        <xdr:cNvPr id="6" name="Chart 6"/>
        <xdr:cNvGraphicFramePr/>
      </xdr:nvGraphicFramePr>
      <xdr:xfrm>
        <a:off x="10868025" y="28470225"/>
        <a:ext cx="60293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342900</xdr:colOff>
      <xdr:row>182</xdr:row>
      <xdr:rowOff>114300</xdr:rowOff>
    </xdr:from>
    <xdr:to>
      <xdr:col>15</xdr:col>
      <xdr:colOff>219075</xdr:colOff>
      <xdr:row>202</xdr:row>
      <xdr:rowOff>76200</xdr:rowOff>
    </xdr:to>
    <xdr:graphicFrame>
      <xdr:nvGraphicFramePr>
        <xdr:cNvPr id="7" name="Chart 10"/>
        <xdr:cNvGraphicFramePr/>
      </xdr:nvGraphicFramePr>
      <xdr:xfrm>
        <a:off x="4581525" y="29660850"/>
        <a:ext cx="5362575" cy="3200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333375</xdr:colOff>
      <xdr:row>204</xdr:row>
      <xdr:rowOff>9525</xdr:rowOff>
    </xdr:from>
    <xdr:to>
      <xdr:col>15</xdr:col>
      <xdr:colOff>219075</xdr:colOff>
      <xdr:row>223</xdr:row>
      <xdr:rowOff>142875</xdr:rowOff>
    </xdr:to>
    <xdr:graphicFrame>
      <xdr:nvGraphicFramePr>
        <xdr:cNvPr id="8" name="Chart 11"/>
        <xdr:cNvGraphicFramePr/>
      </xdr:nvGraphicFramePr>
      <xdr:xfrm>
        <a:off x="4572000" y="33118425"/>
        <a:ext cx="53721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352425</xdr:colOff>
      <xdr:row>225</xdr:row>
      <xdr:rowOff>19050</xdr:rowOff>
    </xdr:from>
    <xdr:to>
      <xdr:col>15</xdr:col>
      <xdr:colOff>247650</xdr:colOff>
      <xdr:row>245</xdr:row>
      <xdr:rowOff>0</xdr:rowOff>
    </xdr:to>
    <xdr:graphicFrame>
      <xdr:nvGraphicFramePr>
        <xdr:cNvPr id="9" name="Chart 12"/>
        <xdr:cNvGraphicFramePr/>
      </xdr:nvGraphicFramePr>
      <xdr:xfrm>
        <a:off x="4591050" y="36528375"/>
        <a:ext cx="538162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342900</xdr:colOff>
      <xdr:row>246</xdr:row>
      <xdr:rowOff>38100</xdr:rowOff>
    </xdr:from>
    <xdr:to>
      <xdr:col>15</xdr:col>
      <xdr:colOff>247650</xdr:colOff>
      <xdr:row>266</xdr:row>
      <xdr:rowOff>28575</xdr:rowOff>
    </xdr:to>
    <xdr:graphicFrame>
      <xdr:nvGraphicFramePr>
        <xdr:cNvPr id="10" name="Chart 13"/>
        <xdr:cNvGraphicFramePr/>
      </xdr:nvGraphicFramePr>
      <xdr:xfrm>
        <a:off x="4581525" y="39947850"/>
        <a:ext cx="53911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361950</xdr:colOff>
      <xdr:row>267</xdr:row>
      <xdr:rowOff>0</xdr:rowOff>
    </xdr:from>
    <xdr:to>
      <xdr:col>15</xdr:col>
      <xdr:colOff>247650</xdr:colOff>
      <xdr:row>285</xdr:row>
      <xdr:rowOff>38100</xdr:rowOff>
    </xdr:to>
    <xdr:graphicFrame>
      <xdr:nvGraphicFramePr>
        <xdr:cNvPr id="11" name="Chart 14"/>
        <xdr:cNvGraphicFramePr/>
      </xdr:nvGraphicFramePr>
      <xdr:xfrm>
        <a:off x="4600575" y="43310175"/>
        <a:ext cx="5372100" cy="2952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286</xdr:row>
      <xdr:rowOff>142875</xdr:rowOff>
    </xdr:from>
    <xdr:to>
      <xdr:col>15</xdr:col>
      <xdr:colOff>276225</xdr:colOff>
      <xdr:row>305</xdr:row>
      <xdr:rowOff>28575</xdr:rowOff>
    </xdr:to>
    <xdr:graphicFrame>
      <xdr:nvGraphicFramePr>
        <xdr:cNvPr id="12" name="Chart 15"/>
        <xdr:cNvGraphicFramePr/>
      </xdr:nvGraphicFramePr>
      <xdr:xfrm>
        <a:off x="4619625" y="46529625"/>
        <a:ext cx="5381625" cy="2962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361950</xdr:colOff>
      <xdr:row>307</xdr:row>
      <xdr:rowOff>9525</xdr:rowOff>
    </xdr:from>
    <xdr:to>
      <xdr:col>15</xdr:col>
      <xdr:colOff>266700</xdr:colOff>
      <xdr:row>325</xdr:row>
      <xdr:rowOff>66675</xdr:rowOff>
    </xdr:to>
    <xdr:graphicFrame>
      <xdr:nvGraphicFramePr>
        <xdr:cNvPr id="13" name="Chart 16"/>
        <xdr:cNvGraphicFramePr/>
      </xdr:nvGraphicFramePr>
      <xdr:xfrm>
        <a:off x="4600575" y="49796700"/>
        <a:ext cx="5391150" cy="2971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476250</xdr:colOff>
      <xdr:row>4</xdr:row>
      <xdr:rowOff>85725</xdr:rowOff>
    </xdr:from>
    <xdr:to>
      <xdr:col>43</xdr:col>
      <xdr:colOff>266700</xdr:colOff>
      <xdr:row>24</xdr:row>
      <xdr:rowOff>19050</xdr:rowOff>
    </xdr:to>
    <xdr:graphicFrame>
      <xdr:nvGraphicFramePr>
        <xdr:cNvPr id="14" name="Chart 17"/>
        <xdr:cNvGraphicFramePr/>
      </xdr:nvGraphicFramePr>
      <xdr:xfrm>
        <a:off x="22040850" y="752475"/>
        <a:ext cx="5886450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485775</xdr:colOff>
      <xdr:row>24</xdr:row>
      <xdr:rowOff>85725</xdr:rowOff>
    </xdr:from>
    <xdr:to>
      <xdr:col>43</xdr:col>
      <xdr:colOff>257175</xdr:colOff>
      <xdr:row>44</xdr:row>
      <xdr:rowOff>66675</xdr:rowOff>
    </xdr:to>
    <xdr:graphicFrame>
      <xdr:nvGraphicFramePr>
        <xdr:cNvPr id="15" name="Chart 18"/>
        <xdr:cNvGraphicFramePr/>
      </xdr:nvGraphicFramePr>
      <xdr:xfrm>
        <a:off x="22050375" y="4010025"/>
        <a:ext cx="5867400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495300</xdr:colOff>
      <xdr:row>45</xdr:row>
      <xdr:rowOff>0</xdr:rowOff>
    </xdr:from>
    <xdr:to>
      <xdr:col>43</xdr:col>
      <xdr:colOff>257175</xdr:colOff>
      <xdr:row>64</xdr:row>
      <xdr:rowOff>114300</xdr:rowOff>
    </xdr:to>
    <xdr:graphicFrame>
      <xdr:nvGraphicFramePr>
        <xdr:cNvPr id="16" name="Chart 19"/>
        <xdr:cNvGraphicFramePr/>
      </xdr:nvGraphicFramePr>
      <xdr:xfrm>
        <a:off x="22059900" y="7324725"/>
        <a:ext cx="5857875" cy="3190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495300</xdr:colOff>
      <xdr:row>65</xdr:row>
      <xdr:rowOff>133350</xdr:rowOff>
    </xdr:from>
    <xdr:to>
      <xdr:col>43</xdr:col>
      <xdr:colOff>323850</xdr:colOff>
      <xdr:row>85</xdr:row>
      <xdr:rowOff>47625</xdr:rowOff>
    </xdr:to>
    <xdr:graphicFrame>
      <xdr:nvGraphicFramePr>
        <xdr:cNvPr id="17" name="Chart 20"/>
        <xdr:cNvGraphicFramePr/>
      </xdr:nvGraphicFramePr>
      <xdr:xfrm>
        <a:off x="22059900" y="10696575"/>
        <a:ext cx="5924550" cy="3152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141</xdr:row>
      <xdr:rowOff>0</xdr:rowOff>
    </xdr:from>
    <xdr:to>
      <xdr:col>31</xdr:col>
      <xdr:colOff>190500</xdr:colOff>
      <xdr:row>170</xdr:row>
      <xdr:rowOff>104775</xdr:rowOff>
    </xdr:to>
    <xdr:graphicFrame>
      <xdr:nvGraphicFramePr>
        <xdr:cNvPr id="1" name="Chart 2"/>
        <xdr:cNvGraphicFramePr/>
      </xdr:nvGraphicFramePr>
      <xdr:xfrm>
        <a:off x="3343275" y="22831425"/>
        <a:ext cx="8562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0.76625</cdr:y>
    </cdr:from>
    <cdr:to>
      <cdr:x>0.409</cdr:x>
      <cdr:y>0.83125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895600"/>
          <a:ext cx="1238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0.4235</cdr:x>
      <cdr:y>0.7405</cdr:y>
    </cdr:from>
    <cdr:to>
      <cdr:x>0.5965</cdr:x>
      <cdr:y>0.87875</cdr:y>
    </cdr:to>
    <cdr:sp>
      <cdr:nvSpPr>
        <cdr:cNvPr id="2" name="TextBox 2"/>
        <cdr:cNvSpPr txBox="1">
          <a:spLocks noChangeArrowheads="1"/>
        </cdr:cNvSpPr>
      </cdr:nvSpPr>
      <cdr:spPr>
        <a:xfrm>
          <a:off x="3228975" y="2790825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0.607</cdr:x>
      <cdr:y>0.7405</cdr:y>
    </cdr:from>
    <cdr:to>
      <cdr:x>0.74475</cdr:x>
      <cdr:y>0.87875</cdr:y>
    </cdr:to>
    <cdr:sp>
      <cdr:nvSpPr>
        <cdr:cNvPr id="3" name="TextBox 3"/>
        <cdr:cNvSpPr txBox="1">
          <a:spLocks noChangeArrowheads="1"/>
        </cdr:cNvSpPr>
      </cdr:nvSpPr>
      <cdr:spPr>
        <a:xfrm>
          <a:off x="4629150" y="2790825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0.76125</cdr:x>
      <cdr:y>0.7405</cdr:y>
    </cdr:from>
    <cdr:to>
      <cdr:x>0.906</cdr:x>
      <cdr:y>0.8845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00725" y="2790825"/>
          <a:ext cx="1104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0.28475</cdr:x>
      <cdr:y>0.75575</cdr:y>
    </cdr:from>
    <cdr:to>
      <cdr:x>0.4385</cdr:x>
      <cdr:y>0.8235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2847975"/>
          <a:ext cx="11715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0.4515</cdr:x>
      <cdr:y>0.731</cdr:y>
    </cdr:from>
    <cdr:to>
      <cdr:x>0.616</cdr:x>
      <cdr:y>0.87325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2752725"/>
          <a:ext cx="12573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0.6265</cdr:x>
      <cdr:y>0.731</cdr:y>
    </cdr:from>
    <cdr:to>
      <cdr:x>0.7565</cdr:x>
      <cdr:y>0.87325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81550" y="2752725"/>
          <a:ext cx="990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0.77275</cdr:x>
      <cdr:y>0.731</cdr:y>
    </cdr:from>
    <cdr:to>
      <cdr:x>0.9075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5895975" y="2752725"/>
          <a:ext cx="10287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0.79</cdr:y>
    </cdr:from>
    <cdr:to>
      <cdr:x>0.47975</cdr:x>
      <cdr:y>0.84825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819525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0.4915</cdr:x>
      <cdr:y>0.764</cdr:y>
    </cdr:from>
    <cdr:to>
      <cdr:x>0.6425</cdr:x>
      <cdr:y>0.89125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3695700"/>
          <a:ext cx="8763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0.65325</cdr:x>
      <cdr:y>0.764</cdr:y>
    </cdr:from>
    <cdr:to>
      <cdr:x>0.77325</cdr:x>
      <cdr:y>0.89125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00475" y="3695700"/>
          <a:ext cx="6953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0.7875</cdr:x>
      <cdr:y>0.764</cdr:y>
    </cdr:from>
    <cdr:to>
      <cdr:x>0.91325</cdr:x>
      <cdr:y>0.89625</cdr:y>
    </cdr:to>
    <cdr:sp>
      <cdr:nvSpPr>
        <cdr:cNvPr id="4" name="TextBox 4"/>
        <cdr:cNvSpPr txBox="1">
          <a:spLocks noChangeArrowheads="1"/>
        </cdr:cNvSpPr>
      </cdr:nvSpPr>
      <cdr:spPr>
        <a:xfrm>
          <a:off x="4581525" y="3695700"/>
          <a:ext cx="7334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0.78175</cdr:y>
    </cdr:from>
    <cdr:to>
      <cdr:x>0.39925</cdr:x>
      <cdr:y>0.84225</cdr:y>
    </cdr:to>
    <cdr:sp>
      <cdr:nvSpPr>
        <cdr:cNvPr id="1" name="TextBox 5"/>
        <cdr:cNvSpPr txBox="1">
          <a:spLocks noChangeArrowheads="1"/>
        </cdr:cNvSpPr>
      </cdr:nvSpPr>
      <cdr:spPr>
        <a:xfrm>
          <a:off x="1371600" y="3371850"/>
          <a:ext cx="952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 and sand</a:t>
          </a:r>
        </a:p>
      </cdr:txBody>
    </cdr:sp>
  </cdr:relSizeAnchor>
  <cdr:relSizeAnchor xmlns:cdr="http://schemas.openxmlformats.org/drawingml/2006/chartDrawing">
    <cdr:from>
      <cdr:x>0.41275</cdr:x>
      <cdr:y>0.75575</cdr:y>
    </cdr:from>
    <cdr:to>
      <cdr:x>0.588</cdr:x>
      <cdr:y>0.887</cdr:y>
    </cdr:to>
    <cdr:sp>
      <cdr:nvSpPr>
        <cdr:cNvPr id="2" name="TextBox 6"/>
        <cdr:cNvSpPr txBox="1">
          <a:spLocks noChangeArrowheads="1"/>
        </cdr:cNvSpPr>
      </cdr:nvSpPr>
      <cdr:spPr>
        <a:xfrm>
          <a:off x="2400300" y="3267075"/>
          <a:ext cx="10191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silt, sand, and
 sm. gravel</a:t>
          </a:r>
        </a:p>
      </cdr:txBody>
    </cdr:sp>
  </cdr:relSizeAnchor>
  <cdr:relSizeAnchor xmlns:cdr="http://schemas.openxmlformats.org/drawingml/2006/chartDrawing">
    <cdr:from>
      <cdr:x>0.59975</cdr:x>
      <cdr:y>0.75575</cdr:y>
    </cdr:from>
    <cdr:to>
      <cdr:x>0.73875</cdr:x>
      <cdr:y>0.887</cdr:y>
    </cdr:to>
    <cdr:sp>
      <cdr:nvSpPr>
        <cdr:cNvPr id="3" name="TextBox 7"/>
        <cdr:cNvSpPr txBox="1">
          <a:spLocks noChangeArrowheads="1"/>
        </cdr:cNvSpPr>
      </cdr:nvSpPr>
      <cdr:spPr>
        <a:xfrm>
          <a:off x="3495675" y="3267075"/>
          <a:ext cx="8096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sm. gravel</a:t>
          </a:r>
        </a:p>
      </cdr:txBody>
    </cdr:sp>
  </cdr:relSizeAnchor>
  <cdr:relSizeAnchor xmlns:cdr="http://schemas.openxmlformats.org/drawingml/2006/chartDrawing">
    <cdr:from>
      <cdr:x>0.7555</cdr:x>
      <cdr:y>0.75575</cdr:y>
    </cdr:from>
    <cdr:to>
      <cdr:x>0.9015</cdr:x>
      <cdr:y>0.89225</cdr:y>
    </cdr:to>
    <cdr:sp>
      <cdr:nvSpPr>
        <cdr:cNvPr id="4" name="TextBox 8"/>
        <cdr:cNvSpPr txBox="1">
          <a:spLocks noChangeArrowheads="1"/>
        </cdr:cNvSpPr>
      </cdr:nvSpPr>
      <cdr:spPr>
        <a:xfrm>
          <a:off x="4400550" y="3267075"/>
          <a:ext cx="8477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sand and 
med. gravel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192</xdr:row>
      <xdr:rowOff>142875</xdr:rowOff>
    </xdr:from>
    <xdr:to>
      <xdr:col>17</xdr:col>
      <xdr:colOff>552450</xdr:colOff>
      <xdr:row>209</xdr:row>
      <xdr:rowOff>47625</xdr:rowOff>
    </xdr:to>
    <xdr:graphicFrame>
      <xdr:nvGraphicFramePr>
        <xdr:cNvPr id="1" name="Chart 1"/>
        <xdr:cNvGraphicFramePr/>
      </xdr:nvGraphicFramePr>
      <xdr:xfrm>
        <a:off x="9744075" y="31308675"/>
        <a:ext cx="63150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223</xdr:row>
      <xdr:rowOff>104775</xdr:rowOff>
    </xdr:from>
    <xdr:to>
      <xdr:col>16</xdr:col>
      <xdr:colOff>352425</xdr:colOff>
      <xdr:row>246</xdr:row>
      <xdr:rowOff>9525</xdr:rowOff>
    </xdr:to>
    <xdr:graphicFrame>
      <xdr:nvGraphicFramePr>
        <xdr:cNvPr id="2" name="Chart 2"/>
        <xdr:cNvGraphicFramePr/>
      </xdr:nvGraphicFramePr>
      <xdr:xfrm>
        <a:off x="9963150" y="36290250"/>
        <a:ext cx="52863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542925</xdr:colOff>
      <xdr:row>248</xdr:row>
      <xdr:rowOff>19050</xdr:rowOff>
    </xdr:from>
    <xdr:to>
      <xdr:col>16</xdr:col>
      <xdr:colOff>342900</xdr:colOff>
      <xdr:row>269</xdr:row>
      <xdr:rowOff>47625</xdr:rowOff>
    </xdr:to>
    <xdr:graphicFrame>
      <xdr:nvGraphicFramePr>
        <xdr:cNvPr id="3" name="Chart 3"/>
        <xdr:cNvGraphicFramePr/>
      </xdr:nvGraphicFramePr>
      <xdr:xfrm>
        <a:off x="9953625" y="40252650"/>
        <a:ext cx="528637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552450</xdr:colOff>
      <xdr:row>290</xdr:row>
      <xdr:rowOff>123825</xdr:rowOff>
    </xdr:from>
    <xdr:to>
      <xdr:col>17</xdr:col>
      <xdr:colOff>133350</xdr:colOff>
      <xdr:row>307</xdr:row>
      <xdr:rowOff>28575</xdr:rowOff>
    </xdr:to>
    <xdr:graphicFrame>
      <xdr:nvGraphicFramePr>
        <xdr:cNvPr id="4" name="Chart 4"/>
        <xdr:cNvGraphicFramePr/>
      </xdr:nvGraphicFramePr>
      <xdr:xfrm>
        <a:off x="9963150" y="47158275"/>
        <a:ext cx="56769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314325</xdr:colOff>
      <xdr:row>212</xdr:row>
      <xdr:rowOff>19050</xdr:rowOff>
    </xdr:from>
    <xdr:to>
      <xdr:col>54</xdr:col>
      <xdr:colOff>114300</xdr:colOff>
      <xdr:row>229</xdr:row>
      <xdr:rowOff>85725</xdr:rowOff>
    </xdr:to>
    <xdr:graphicFrame>
      <xdr:nvGraphicFramePr>
        <xdr:cNvPr id="5" name="Chart 5"/>
        <xdr:cNvGraphicFramePr/>
      </xdr:nvGraphicFramePr>
      <xdr:xfrm>
        <a:off x="32546925" y="34423350"/>
        <a:ext cx="65055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323850</xdr:colOff>
      <xdr:row>232</xdr:row>
      <xdr:rowOff>38100</xdr:rowOff>
    </xdr:from>
    <xdr:to>
      <xdr:col>54</xdr:col>
      <xdr:colOff>123825</xdr:colOff>
      <xdr:row>254</xdr:row>
      <xdr:rowOff>104775</xdr:rowOff>
    </xdr:to>
    <xdr:graphicFrame>
      <xdr:nvGraphicFramePr>
        <xdr:cNvPr id="6" name="Chart 6"/>
        <xdr:cNvGraphicFramePr/>
      </xdr:nvGraphicFramePr>
      <xdr:xfrm>
        <a:off x="32556450" y="37680900"/>
        <a:ext cx="65055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352425</xdr:colOff>
      <xdr:row>212</xdr:row>
      <xdr:rowOff>28575</xdr:rowOff>
    </xdr:from>
    <xdr:to>
      <xdr:col>62</xdr:col>
      <xdr:colOff>152400</xdr:colOff>
      <xdr:row>229</xdr:row>
      <xdr:rowOff>95250</xdr:rowOff>
    </xdr:to>
    <xdr:graphicFrame>
      <xdr:nvGraphicFramePr>
        <xdr:cNvPr id="7" name="Chart 7"/>
        <xdr:cNvGraphicFramePr/>
      </xdr:nvGraphicFramePr>
      <xdr:xfrm>
        <a:off x="39290625" y="34432875"/>
        <a:ext cx="46767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323850</xdr:colOff>
      <xdr:row>230</xdr:row>
      <xdr:rowOff>142875</xdr:rowOff>
    </xdr:from>
    <xdr:to>
      <xdr:col>62</xdr:col>
      <xdr:colOff>123825</xdr:colOff>
      <xdr:row>254</xdr:row>
      <xdr:rowOff>104775</xdr:rowOff>
    </xdr:to>
    <xdr:graphicFrame>
      <xdr:nvGraphicFramePr>
        <xdr:cNvPr id="8" name="Chart 8"/>
        <xdr:cNvGraphicFramePr/>
      </xdr:nvGraphicFramePr>
      <xdr:xfrm>
        <a:off x="39262050" y="37461825"/>
        <a:ext cx="4676775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48</xdr:col>
      <xdr:colOff>180975</xdr:colOff>
      <xdr:row>257</xdr:row>
      <xdr:rowOff>47625</xdr:rowOff>
    </xdr:from>
    <xdr:to>
      <xdr:col>59</xdr:col>
      <xdr:colOff>66675</xdr:colOff>
      <xdr:row>287</xdr:row>
      <xdr:rowOff>66675</xdr:rowOff>
    </xdr:to>
    <xdr:graphicFrame>
      <xdr:nvGraphicFramePr>
        <xdr:cNvPr id="9" name="Chart 9"/>
        <xdr:cNvGraphicFramePr/>
      </xdr:nvGraphicFramePr>
      <xdr:xfrm>
        <a:off x="35461575" y="41738550"/>
        <a:ext cx="6591300" cy="4876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47</xdr:col>
      <xdr:colOff>257175</xdr:colOff>
      <xdr:row>296</xdr:row>
      <xdr:rowOff>76200</xdr:rowOff>
    </xdr:from>
    <xdr:to>
      <xdr:col>59</xdr:col>
      <xdr:colOff>571500</xdr:colOff>
      <xdr:row>319</xdr:row>
      <xdr:rowOff>133350</xdr:rowOff>
    </xdr:to>
    <xdr:graphicFrame>
      <xdr:nvGraphicFramePr>
        <xdr:cNvPr id="10" name="Chart 14"/>
        <xdr:cNvGraphicFramePr/>
      </xdr:nvGraphicFramePr>
      <xdr:xfrm>
        <a:off x="34928175" y="48082200"/>
        <a:ext cx="7629525" cy="3781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47</xdr:col>
      <xdr:colOff>266700</xdr:colOff>
      <xdr:row>320</xdr:row>
      <xdr:rowOff>123825</xdr:rowOff>
    </xdr:from>
    <xdr:to>
      <xdr:col>59</xdr:col>
      <xdr:colOff>590550</xdr:colOff>
      <xdr:row>344</xdr:row>
      <xdr:rowOff>9525</xdr:rowOff>
    </xdr:to>
    <xdr:graphicFrame>
      <xdr:nvGraphicFramePr>
        <xdr:cNvPr id="11" name="Chart 15"/>
        <xdr:cNvGraphicFramePr/>
      </xdr:nvGraphicFramePr>
      <xdr:xfrm>
        <a:off x="34937700" y="52016025"/>
        <a:ext cx="7639050" cy="3771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59</xdr:col>
      <xdr:colOff>561975</xdr:colOff>
      <xdr:row>257</xdr:row>
      <xdr:rowOff>57150</xdr:rowOff>
    </xdr:from>
    <xdr:to>
      <xdr:col>69</xdr:col>
      <xdr:colOff>285750</xdr:colOff>
      <xdr:row>287</xdr:row>
      <xdr:rowOff>38100</xdr:rowOff>
    </xdr:to>
    <xdr:graphicFrame>
      <xdr:nvGraphicFramePr>
        <xdr:cNvPr id="12" name="Chart 16"/>
        <xdr:cNvGraphicFramePr/>
      </xdr:nvGraphicFramePr>
      <xdr:xfrm>
        <a:off x="42548175" y="41748075"/>
        <a:ext cx="5819775" cy="4838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62</xdr:col>
      <xdr:colOff>561975</xdr:colOff>
      <xdr:row>228</xdr:row>
      <xdr:rowOff>57150</xdr:rowOff>
    </xdr:from>
    <xdr:to>
      <xdr:col>72</xdr:col>
      <xdr:colOff>295275</xdr:colOff>
      <xdr:row>255</xdr:row>
      <xdr:rowOff>9525</xdr:rowOff>
    </xdr:to>
    <xdr:graphicFrame>
      <xdr:nvGraphicFramePr>
        <xdr:cNvPr id="13" name="Chart 17"/>
        <xdr:cNvGraphicFramePr/>
      </xdr:nvGraphicFramePr>
      <xdr:xfrm>
        <a:off x="44376975" y="37052250"/>
        <a:ext cx="5829300" cy="4324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0.855</cdr:y>
    </cdr:from>
    <cdr:to>
      <cdr:x>0.4455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53365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
</a:t>
          </a:r>
        </a:p>
      </cdr:txBody>
    </cdr:sp>
  </cdr:relSizeAnchor>
  <cdr:relSizeAnchor xmlns:cdr="http://schemas.openxmlformats.org/drawingml/2006/chartDrawing">
    <cdr:from>
      <cdr:x>0.5565</cdr:x>
      <cdr:y>0.855</cdr:y>
    </cdr:from>
    <cdr:to>
      <cdr:x>0.70675</cdr:x>
      <cdr:y>0.977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5336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 + 
GRAVEL</a:t>
          </a:r>
        </a:p>
      </cdr:txBody>
    </cdr:sp>
  </cdr:relSizeAnchor>
  <cdr:relSizeAnchor xmlns:cdr="http://schemas.openxmlformats.org/drawingml/2006/chartDrawing">
    <cdr:from>
      <cdr:x>0.78925</cdr:x>
      <cdr:y>0.855</cdr:y>
    </cdr:from>
    <cdr:to>
      <cdr:x>0.9465</cdr:x>
      <cdr:y>0.977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0" y="2533650"/>
          <a:ext cx="952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GRAVEL + 
COBBLE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0.37225</cdr:x>
      <cdr:y>0.80525</cdr:y>
    </cdr:from>
    <cdr:to>
      <cdr:x>0.463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5527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
</a:t>
          </a:r>
        </a:p>
      </cdr:txBody>
    </cdr:sp>
  </cdr:relSizeAnchor>
  <cdr:relSizeAnchor xmlns:cdr="http://schemas.openxmlformats.org/drawingml/2006/chartDrawing">
    <cdr:from>
      <cdr:x>0.56675</cdr:x>
      <cdr:y>0.80525</cdr:y>
    </cdr:from>
    <cdr:to>
      <cdr:x>0.7175</cdr:x>
      <cdr:y>0.9195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55270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SAND + 
GRAVEL</a:t>
          </a:r>
        </a:p>
      </cdr:txBody>
    </cdr:sp>
  </cdr:relSizeAnchor>
  <cdr:relSizeAnchor xmlns:cdr="http://schemas.openxmlformats.org/drawingml/2006/chartDrawing">
    <cdr:from>
      <cdr:x>0.78025</cdr:x>
      <cdr:y>0.80525</cdr:y>
    </cdr:from>
    <cdr:to>
      <cdr:x>0.939</cdr:x>
      <cdr:y>0.9195</cdr:y>
    </cdr:to>
    <cdr:sp>
      <cdr:nvSpPr>
        <cdr:cNvPr id="3" name="TextBox 3"/>
        <cdr:cNvSpPr txBox="1">
          <a:spLocks noChangeArrowheads="1"/>
        </cdr:cNvSpPr>
      </cdr:nvSpPr>
      <cdr:spPr>
        <a:xfrm>
          <a:off x="4695825" y="2552700"/>
          <a:ext cx="952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GRAVEL + 
COBBLE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zoomScale="75" zoomScaleNormal="75" workbookViewId="0" topLeftCell="A1">
      <selection activeCell="AD104" sqref="AD104"/>
    </sheetView>
  </sheetViews>
  <sheetFormatPr defaultColWidth="9.140625" defaultRowHeight="12.75"/>
  <cols>
    <col min="1" max="1" width="24.140625" style="0" customWidth="1"/>
    <col min="2" max="36" width="7.421875" style="0" customWidth="1"/>
  </cols>
  <sheetData>
    <row r="1" spans="1:36" ht="12.75">
      <c r="A1" s="53"/>
      <c r="B1" s="53" t="s">
        <v>440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2.75">
      <c r="A2" s="53"/>
      <c r="B2" s="53" t="s">
        <v>441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ht="12.75">
      <c r="A3" s="53"/>
      <c r="B3" s="53" t="s">
        <v>486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2.75">
      <c r="A4" s="53"/>
      <c r="B4" s="57" t="s">
        <v>519</v>
      </c>
      <c r="C4" s="53"/>
      <c r="D4" s="53"/>
      <c r="E4" s="53"/>
      <c r="F4" s="53"/>
      <c r="G4" s="57" t="s">
        <v>519</v>
      </c>
      <c r="H4" s="53"/>
      <c r="I4" s="53"/>
      <c r="J4" s="53"/>
      <c r="K4" s="53"/>
      <c r="L4" s="57" t="s">
        <v>520</v>
      </c>
      <c r="M4" s="53"/>
      <c r="N4" s="53"/>
      <c r="O4" s="53"/>
      <c r="P4" s="53"/>
      <c r="Q4" s="58" t="s">
        <v>487</v>
      </c>
      <c r="R4" s="53"/>
      <c r="S4" s="53"/>
      <c r="T4" s="53"/>
      <c r="U4" s="53"/>
      <c r="V4" s="58" t="s">
        <v>487</v>
      </c>
      <c r="W4" s="53"/>
      <c r="X4" s="53"/>
      <c r="Y4" s="53"/>
      <c r="Z4" s="53"/>
      <c r="AA4" s="58" t="s">
        <v>487</v>
      </c>
      <c r="AB4" s="53"/>
      <c r="AC4" s="53"/>
      <c r="AD4" s="53"/>
      <c r="AE4" s="53"/>
      <c r="AF4" s="53"/>
      <c r="AG4" s="53"/>
      <c r="AH4" s="53"/>
      <c r="AI4" s="53"/>
      <c r="AJ4" s="53"/>
    </row>
    <row r="5" spans="1:36" ht="12.75">
      <c r="A5" s="53"/>
      <c r="B5" s="78" t="s">
        <v>501</v>
      </c>
      <c r="C5" s="79" t="s">
        <v>502</v>
      </c>
      <c r="D5" s="79" t="s">
        <v>503</v>
      </c>
      <c r="E5" s="79" t="s">
        <v>504</v>
      </c>
      <c r="F5" s="80" t="s">
        <v>505</v>
      </c>
      <c r="G5" s="78" t="s">
        <v>501</v>
      </c>
      <c r="H5" s="79" t="s">
        <v>502</v>
      </c>
      <c r="I5" s="79" t="s">
        <v>503</v>
      </c>
      <c r="J5" s="79" t="s">
        <v>504</v>
      </c>
      <c r="K5" s="80" t="s">
        <v>505</v>
      </c>
      <c r="L5" s="78" t="s">
        <v>501</v>
      </c>
      <c r="M5" s="79" t="s">
        <v>502</v>
      </c>
      <c r="N5" s="79" t="s">
        <v>503</v>
      </c>
      <c r="O5" s="79" t="s">
        <v>504</v>
      </c>
      <c r="P5" s="80" t="s">
        <v>505</v>
      </c>
      <c r="Q5" s="78" t="s">
        <v>501</v>
      </c>
      <c r="R5" s="79" t="s">
        <v>502</v>
      </c>
      <c r="S5" s="79" t="s">
        <v>503</v>
      </c>
      <c r="T5" s="79" t="s">
        <v>504</v>
      </c>
      <c r="U5" s="80" t="s">
        <v>505</v>
      </c>
      <c r="V5" s="78" t="s">
        <v>501</v>
      </c>
      <c r="W5" s="79" t="s">
        <v>502</v>
      </c>
      <c r="X5" s="79" t="s">
        <v>503</v>
      </c>
      <c r="Y5" s="79" t="s">
        <v>504</v>
      </c>
      <c r="Z5" s="80" t="s">
        <v>505</v>
      </c>
      <c r="AA5" s="78" t="s">
        <v>501</v>
      </c>
      <c r="AB5" s="79" t="s">
        <v>502</v>
      </c>
      <c r="AC5" s="79" t="s">
        <v>503</v>
      </c>
      <c r="AD5" s="79" t="s">
        <v>504</v>
      </c>
      <c r="AE5" s="79" t="s">
        <v>505</v>
      </c>
      <c r="AF5" s="79" t="s">
        <v>506</v>
      </c>
      <c r="AG5" s="79" t="s">
        <v>507</v>
      </c>
      <c r="AH5" s="79" t="s">
        <v>508</v>
      </c>
      <c r="AI5" s="79" t="s">
        <v>509</v>
      </c>
      <c r="AJ5" s="80" t="s">
        <v>510</v>
      </c>
    </row>
    <row r="6" spans="1:36" ht="12.75">
      <c r="A6" s="59" t="s">
        <v>67</v>
      </c>
      <c r="B6" s="81">
        <v>1</v>
      </c>
      <c r="C6" s="82">
        <v>1</v>
      </c>
      <c r="D6" s="82">
        <v>1</v>
      </c>
      <c r="E6" s="82">
        <v>1</v>
      </c>
      <c r="F6" s="83">
        <v>1</v>
      </c>
      <c r="G6" s="81">
        <v>1</v>
      </c>
      <c r="H6" s="82">
        <v>1</v>
      </c>
      <c r="I6" s="82">
        <v>1</v>
      </c>
      <c r="J6" s="82">
        <v>1</v>
      </c>
      <c r="K6" s="83">
        <v>1</v>
      </c>
      <c r="L6" s="81">
        <v>1</v>
      </c>
      <c r="M6" s="82">
        <v>1</v>
      </c>
      <c r="N6" s="82">
        <v>1</v>
      </c>
      <c r="O6" s="82">
        <v>1</v>
      </c>
      <c r="P6" s="83">
        <v>1</v>
      </c>
      <c r="Q6" s="81">
        <v>1</v>
      </c>
      <c r="R6" s="82">
        <v>1</v>
      </c>
      <c r="S6" s="82">
        <v>1</v>
      </c>
      <c r="T6" s="82">
        <v>1</v>
      </c>
      <c r="U6" s="83">
        <v>1</v>
      </c>
      <c r="V6" s="81">
        <v>1</v>
      </c>
      <c r="W6" s="82">
        <v>1</v>
      </c>
      <c r="X6" s="82">
        <v>1</v>
      </c>
      <c r="Y6" s="82">
        <v>1</v>
      </c>
      <c r="Z6" s="83">
        <v>1</v>
      </c>
      <c r="AA6" s="81">
        <v>1</v>
      </c>
      <c r="AB6" s="82">
        <v>1</v>
      </c>
      <c r="AC6" s="82">
        <v>1</v>
      </c>
      <c r="AD6" s="82">
        <v>1</v>
      </c>
      <c r="AE6" s="82">
        <v>1</v>
      </c>
      <c r="AF6" s="82">
        <v>1</v>
      </c>
      <c r="AG6" s="82">
        <v>1</v>
      </c>
      <c r="AH6" s="82">
        <v>1</v>
      </c>
      <c r="AI6" s="82">
        <v>1</v>
      </c>
      <c r="AJ6" s="83">
        <v>1</v>
      </c>
    </row>
    <row r="7" spans="1:36" ht="12.75">
      <c r="A7" s="60" t="s">
        <v>529</v>
      </c>
      <c r="B7" s="84">
        <v>0.125</v>
      </c>
      <c r="C7" s="85">
        <v>0.09375</v>
      </c>
      <c r="D7" s="85">
        <v>0.046875</v>
      </c>
      <c r="E7" s="85">
        <v>0.1875</v>
      </c>
      <c r="F7" s="86">
        <v>0.0625</v>
      </c>
      <c r="G7" s="84">
        <v>0.25</v>
      </c>
      <c r="H7" s="85">
        <v>0.25</v>
      </c>
      <c r="I7" s="85">
        <v>0.125</v>
      </c>
      <c r="J7" s="85">
        <v>0.0625</v>
      </c>
      <c r="K7" s="86">
        <v>0.125</v>
      </c>
      <c r="L7" s="84">
        <v>0.5</v>
      </c>
      <c r="M7" s="85">
        <v>1</v>
      </c>
      <c r="N7" s="85">
        <v>0.25</v>
      </c>
      <c r="O7" s="85">
        <v>0.375</v>
      </c>
      <c r="P7" s="86">
        <v>0.0625</v>
      </c>
      <c r="Q7" s="95">
        <v>0.0625</v>
      </c>
      <c r="R7" s="96">
        <v>0.125</v>
      </c>
      <c r="S7" s="96">
        <v>0.03125</v>
      </c>
      <c r="T7" s="96">
        <v>0.0625</v>
      </c>
      <c r="U7" s="97">
        <v>0.046875</v>
      </c>
      <c r="V7" s="95">
        <v>0.0625</v>
      </c>
      <c r="W7" s="96">
        <v>0.09375</v>
      </c>
      <c r="X7" s="96">
        <v>0.1875</v>
      </c>
      <c r="Y7" s="96">
        <v>0.25</v>
      </c>
      <c r="Z7" s="97">
        <v>0.1875</v>
      </c>
      <c r="AA7" s="95">
        <v>1</v>
      </c>
      <c r="AB7" s="96">
        <v>0.25</v>
      </c>
      <c r="AC7" s="96">
        <v>0.125</v>
      </c>
      <c r="AD7" s="96">
        <v>0.25</v>
      </c>
      <c r="AE7" s="96">
        <v>0.1875</v>
      </c>
      <c r="AF7" s="96">
        <v>0.78125</v>
      </c>
      <c r="AG7" s="96">
        <v>0.25</v>
      </c>
      <c r="AH7" s="96">
        <v>0.125</v>
      </c>
      <c r="AI7" s="96">
        <v>0.25</v>
      </c>
      <c r="AJ7" s="97">
        <v>0.25</v>
      </c>
    </row>
    <row r="8" spans="1:36" ht="12.75">
      <c r="A8" s="59" t="s">
        <v>16</v>
      </c>
      <c r="B8" s="81"/>
      <c r="C8" s="82"/>
      <c r="D8" s="82"/>
      <c r="E8" s="82"/>
      <c r="F8" s="83"/>
      <c r="G8" s="81"/>
      <c r="H8" s="82"/>
      <c r="I8" s="82"/>
      <c r="J8" s="82"/>
      <c r="K8" s="83"/>
      <c r="L8" s="81"/>
      <c r="M8" s="82"/>
      <c r="N8" s="82"/>
      <c r="O8" s="82"/>
      <c r="P8" s="83"/>
      <c r="Q8" s="81"/>
      <c r="R8" s="82"/>
      <c r="S8" s="82"/>
      <c r="T8" s="82"/>
      <c r="U8" s="83"/>
      <c r="V8" s="81"/>
      <c r="W8" s="82"/>
      <c r="X8" s="82"/>
      <c r="Y8" s="82"/>
      <c r="Z8" s="83"/>
      <c r="AA8" s="81"/>
      <c r="AB8" s="82"/>
      <c r="AC8" s="82"/>
      <c r="AD8" s="82"/>
      <c r="AE8" s="82"/>
      <c r="AF8" s="82"/>
      <c r="AG8" s="82"/>
      <c r="AH8" s="82"/>
      <c r="AI8" s="82"/>
      <c r="AJ8" s="83"/>
    </row>
    <row r="9" spans="1:36" ht="12.75">
      <c r="A9" s="59" t="s">
        <v>320</v>
      </c>
      <c r="B9" s="81"/>
      <c r="C9" s="82"/>
      <c r="D9" s="82"/>
      <c r="E9" s="82"/>
      <c r="F9" s="83"/>
      <c r="G9" s="81"/>
      <c r="H9" s="82"/>
      <c r="I9" s="82"/>
      <c r="J9" s="82"/>
      <c r="K9" s="83"/>
      <c r="L9" s="81"/>
      <c r="M9" s="82"/>
      <c r="N9" s="82"/>
      <c r="O9" s="82"/>
      <c r="P9" s="83"/>
      <c r="Q9" s="81"/>
      <c r="R9" s="82"/>
      <c r="S9" s="82"/>
      <c r="T9" s="82"/>
      <c r="U9" s="83"/>
      <c r="V9" s="81"/>
      <c r="W9" s="82"/>
      <c r="X9" s="82"/>
      <c r="Y9" s="82"/>
      <c r="Z9" s="83"/>
      <c r="AA9" s="81"/>
      <c r="AB9" s="82"/>
      <c r="AC9" s="82"/>
      <c r="AD9" s="82"/>
      <c r="AE9" s="82"/>
      <c r="AF9" s="82"/>
      <c r="AG9" s="82"/>
      <c r="AH9" s="82"/>
      <c r="AI9" s="82"/>
      <c r="AJ9" s="83"/>
    </row>
    <row r="10" spans="1:36" ht="12.75">
      <c r="A10" s="59" t="s">
        <v>269</v>
      </c>
      <c r="B10" s="81" t="s">
        <v>65</v>
      </c>
      <c r="C10" s="82" t="s">
        <v>65</v>
      </c>
      <c r="D10" s="82" t="s">
        <v>65</v>
      </c>
      <c r="E10" s="82" t="s">
        <v>65</v>
      </c>
      <c r="F10" s="83" t="s">
        <v>65</v>
      </c>
      <c r="G10" s="81" t="s">
        <v>66</v>
      </c>
      <c r="H10" s="82" t="s">
        <v>66</v>
      </c>
      <c r="I10" s="82" t="s">
        <v>66</v>
      </c>
      <c r="J10" s="82" t="s">
        <v>66</v>
      </c>
      <c r="K10" s="83" t="s">
        <v>66</v>
      </c>
      <c r="L10" s="81" t="s">
        <v>275</v>
      </c>
      <c r="M10" s="82" t="s">
        <v>275</v>
      </c>
      <c r="N10" s="82" t="s">
        <v>275</v>
      </c>
      <c r="O10" s="82" t="s">
        <v>275</v>
      </c>
      <c r="P10" s="83" t="s">
        <v>275</v>
      </c>
      <c r="Q10" s="81" t="s">
        <v>65</v>
      </c>
      <c r="R10" s="82" t="s">
        <v>65</v>
      </c>
      <c r="S10" s="82" t="s">
        <v>65</v>
      </c>
      <c r="T10" s="82" t="s">
        <v>65</v>
      </c>
      <c r="U10" s="83" t="s">
        <v>65</v>
      </c>
      <c r="V10" s="81" t="s">
        <v>66</v>
      </c>
      <c r="W10" s="82" t="s">
        <v>66</v>
      </c>
      <c r="X10" s="82" t="s">
        <v>66</v>
      </c>
      <c r="Y10" s="82" t="s">
        <v>66</v>
      </c>
      <c r="Z10" s="83" t="s">
        <v>66</v>
      </c>
      <c r="AA10" s="81" t="s">
        <v>275</v>
      </c>
      <c r="AB10" s="82" t="s">
        <v>275</v>
      </c>
      <c r="AC10" s="82" t="s">
        <v>275</v>
      </c>
      <c r="AD10" s="82" t="s">
        <v>275</v>
      </c>
      <c r="AE10" s="82" t="s">
        <v>275</v>
      </c>
      <c r="AF10" s="82" t="s">
        <v>275</v>
      </c>
      <c r="AG10" s="82" t="s">
        <v>275</v>
      </c>
      <c r="AH10" s="82" t="s">
        <v>275</v>
      </c>
      <c r="AI10" s="82" t="s">
        <v>275</v>
      </c>
      <c r="AJ10" s="83" t="s">
        <v>275</v>
      </c>
    </row>
    <row r="11" spans="2:36" s="77" customFormat="1" ht="13.5" thickBot="1">
      <c r="B11" s="87"/>
      <c r="F11" s="88"/>
      <c r="G11" s="87"/>
      <c r="K11" s="88"/>
      <c r="L11" s="87"/>
      <c r="P11" s="88"/>
      <c r="Q11" s="87"/>
      <c r="U11" s="88"/>
      <c r="V11" s="87"/>
      <c r="Z11" s="88"/>
      <c r="AA11" s="87"/>
      <c r="AJ11" s="88"/>
    </row>
    <row r="12" spans="1:36" ht="12.75">
      <c r="A12" t="s">
        <v>100</v>
      </c>
      <c r="B12" s="89">
        <v>596</v>
      </c>
      <c r="C12" s="90">
        <v>607</v>
      </c>
      <c r="D12" s="90">
        <v>707</v>
      </c>
      <c r="E12" s="90">
        <v>595</v>
      </c>
      <c r="F12" s="91">
        <v>667</v>
      </c>
      <c r="G12" s="89">
        <v>738</v>
      </c>
      <c r="H12" s="90">
        <v>708</v>
      </c>
      <c r="I12" s="90">
        <v>564</v>
      </c>
      <c r="J12" s="90">
        <v>541</v>
      </c>
      <c r="K12" s="91">
        <v>587</v>
      </c>
      <c r="L12" s="89">
        <v>877</v>
      </c>
      <c r="M12" s="90">
        <v>498</v>
      </c>
      <c r="N12" s="90">
        <v>812</v>
      </c>
      <c r="O12" s="90">
        <v>588</v>
      </c>
      <c r="P12" s="91">
        <v>932</v>
      </c>
      <c r="Q12" s="89">
        <v>280</v>
      </c>
      <c r="R12" s="90">
        <v>266</v>
      </c>
      <c r="S12" s="90">
        <v>384</v>
      </c>
      <c r="T12" s="90">
        <v>281</v>
      </c>
      <c r="U12" s="91">
        <v>240</v>
      </c>
      <c r="V12" s="89">
        <v>246</v>
      </c>
      <c r="W12" s="90">
        <v>312</v>
      </c>
      <c r="X12" s="90">
        <v>342</v>
      </c>
      <c r="Y12" s="90">
        <v>281</v>
      </c>
      <c r="Z12" s="91">
        <v>250</v>
      </c>
      <c r="AA12" s="89">
        <v>211</v>
      </c>
      <c r="AB12" s="90">
        <v>286</v>
      </c>
      <c r="AC12" s="90">
        <v>256</v>
      </c>
      <c r="AD12" s="90">
        <v>295</v>
      </c>
      <c r="AE12" s="90">
        <v>303</v>
      </c>
      <c r="AF12" s="90">
        <v>285</v>
      </c>
      <c r="AG12" s="90">
        <v>258</v>
      </c>
      <c r="AH12" s="90">
        <v>408</v>
      </c>
      <c r="AI12" s="90">
        <v>240</v>
      </c>
      <c r="AJ12" s="91">
        <v>229</v>
      </c>
    </row>
    <row r="13" spans="1:41" ht="12.75">
      <c r="A13" t="s">
        <v>324</v>
      </c>
      <c r="B13" s="89">
        <v>31</v>
      </c>
      <c r="C13" s="90">
        <v>31</v>
      </c>
      <c r="D13" s="90">
        <v>38</v>
      </c>
      <c r="E13" s="90">
        <v>25</v>
      </c>
      <c r="F13" s="91">
        <v>16</v>
      </c>
      <c r="G13" s="89">
        <v>38</v>
      </c>
      <c r="H13" s="90">
        <v>39</v>
      </c>
      <c r="I13" s="90">
        <v>22</v>
      </c>
      <c r="J13" s="90">
        <v>39</v>
      </c>
      <c r="K13" s="91">
        <v>32</v>
      </c>
      <c r="L13" s="89">
        <v>34</v>
      </c>
      <c r="M13" s="90">
        <v>35</v>
      </c>
      <c r="N13" s="90">
        <v>38</v>
      </c>
      <c r="O13" s="90">
        <v>40</v>
      </c>
      <c r="P13" s="91">
        <v>23</v>
      </c>
      <c r="Q13" s="89">
        <v>23</v>
      </c>
      <c r="R13" s="90">
        <v>32</v>
      </c>
      <c r="S13" s="90">
        <v>37</v>
      </c>
      <c r="T13" s="90">
        <v>28</v>
      </c>
      <c r="U13" s="91">
        <v>26</v>
      </c>
      <c r="V13" s="89">
        <v>30</v>
      </c>
      <c r="W13" s="90">
        <v>30</v>
      </c>
      <c r="X13" s="90">
        <v>29</v>
      </c>
      <c r="Y13" s="90">
        <v>29</v>
      </c>
      <c r="Z13" s="91">
        <v>26</v>
      </c>
      <c r="AA13" s="89">
        <v>36</v>
      </c>
      <c r="AB13" s="90">
        <v>36</v>
      </c>
      <c r="AC13" s="90">
        <v>35</v>
      </c>
      <c r="AD13" s="90">
        <v>31</v>
      </c>
      <c r="AE13" s="90">
        <v>31</v>
      </c>
      <c r="AF13" s="90">
        <v>32</v>
      </c>
      <c r="AG13" s="90">
        <v>32</v>
      </c>
      <c r="AH13" s="90">
        <v>28</v>
      </c>
      <c r="AI13" s="90">
        <v>32</v>
      </c>
      <c r="AJ13" s="91">
        <v>22</v>
      </c>
      <c r="AM13" s="90"/>
      <c r="AN13" s="90"/>
      <c r="AO13" s="104"/>
    </row>
    <row r="14" spans="2:41" ht="12.75">
      <c r="B14" s="89"/>
      <c r="C14" s="90"/>
      <c r="D14" s="90"/>
      <c r="E14" s="90"/>
      <c r="F14" s="91"/>
      <c r="G14" s="89"/>
      <c r="H14" s="90"/>
      <c r="I14" s="90"/>
      <c r="J14" s="90"/>
      <c r="K14" s="91"/>
      <c r="L14" s="89"/>
      <c r="M14" s="90"/>
      <c r="N14" s="90"/>
      <c r="O14" s="90"/>
      <c r="P14" s="91"/>
      <c r="Q14" s="89"/>
      <c r="R14" s="90"/>
      <c r="S14" s="90"/>
      <c r="T14" s="90"/>
      <c r="U14" s="91"/>
      <c r="V14" s="89"/>
      <c r="W14" s="90"/>
      <c r="X14" s="90"/>
      <c r="Y14" s="90"/>
      <c r="Z14" s="91"/>
      <c r="AA14" s="89"/>
      <c r="AB14" s="90"/>
      <c r="AC14" s="90"/>
      <c r="AD14" s="90"/>
      <c r="AE14" s="90"/>
      <c r="AF14" s="90"/>
      <c r="AG14" s="90"/>
      <c r="AH14" s="90"/>
      <c r="AI14" s="90"/>
      <c r="AJ14" s="91"/>
      <c r="AM14" s="90"/>
      <c r="AN14" s="90"/>
      <c r="AO14" s="104"/>
    </row>
    <row r="15" spans="1:41" ht="12.75">
      <c r="A15" t="s">
        <v>543</v>
      </c>
      <c r="B15" s="89">
        <v>52972.48</v>
      </c>
      <c r="C15" s="90">
        <v>71933.54666666666</v>
      </c>
      <c r="D15" s="90">
        <v>167568.42666666664</v>
      </c>
      <c r="E15" s="90">
        <v>35255.73333333333</v>
      </c>
      <c r="F15" s="91">
        <v>118565.92</v>
      </c>
      <c r="G15" s="89">
        <v>32796.72</v>
      </c>
      <c r="H15" s="90">
        <v>31463.52</v>
      </c>
      <c r="I15" s="90">
        <v>50128.32</v>
      </c>
      <c r="J15" s="90">
        <v>96168.16</v>
      </c>
      <c r="K15" s="91">
        <v>52172.56</v>
      </c>
      <c r="L15" s="89">
        <v>19486.94</v>
      </c>
      <c r="M15" s="90">
        <v>5532.78</v>
      </c>
      <c r="N15" s="90">
        <v>36085.28</v>
      </c>
      <c r="O15" s="90">
        <v>17420.48</v>
      </c>
      <c r="P15" s="91">
        <v>165672.32</v>
      </c>
      <c r="Q15" s="89">
        <v>49772.8</v>
      </c>
      <c r="R15" s="90">
        <v>23642.08</v>
      </c>
      <c r="S15" s="90">
        <v>136519.68</v>
      </c>
      <c r="T15" s="90">
        <v>49950.56</v>
      </c>
      <c r="U15" s="91">
        <v>56883.2</v>
      </c>
      <c r="V15" s="89">
        <v>43728.96</v>
      </c>
      <c r="W15" s="90">
        <v>36974.08</v>
      </c>
      <c r="X15" s="90">
        <v>20264.64</v>
      </c>
      <c r="Y15" s="90">
        <v>12487.64</v>
      </c>
      <c r="Z15" s="91">
        <v>14813.333333333332</v>
      </c>
      <c r="AA15" s="89">
        <v>2344.21</v>
      </c>
      <c r="AB15" s="90">
        <v>12709.84</v>
      </c>
      <c r="AC15" s="90">
        <v>22753.28</v>
      </c>
      <c r="AD15" s="90">
        <v>13109.8</v>
      </c>
      <c r="AE15" s="90">
        <v>17953.76</v>
      </c>
      <c r="AF15" s="90">
        <v>4052.928</v>
      </c>
      <c r="AG15" s="90">
        <v>11465.52</v>
      </c>
      <c r="AH15" s="90">
        <v>36263.04</v>
      </c>
      <c r="AI15" s="90">
        <v>10665.6</v>
      </c>
      <c r="AJ15" s="91">
        <v>10176.76</v>
      </c>
      <c r="AM15" s="90"/>
      <c r="AN15" s="90"/>
      <c r="AO15" s="104"/>
    </row>
    <row r="16" spans="1:41" ht="12.75">
      <c r="A16" t="s">
        <v>102</v>
      </c>
      <c r="B16" s="89">
        <v>4.471476510067114</v>
      </c>
      <c r="C16" s="90">
        <v>4.640856672158155</v>
      </c>
      <c r="D16" s="90">
        <v>5.176803394625177</v>
      </c>
      <c r="E16" s="90">
        <v>5.2672268907563025</v>
      </c>
      <c r="F16" s="91">
        <v>5.229385307346327</v>
      </c>
      <c r="G16" s="89">
        <v>3.2628726287262872</v>
      </c>
      <c r="H16" s="90">
        <v>3.4731638418079096</v>
      </c>
      <c r="I16" s="90">
        <v>5.1046099290780145</v>
      </c>
      <c r="J16" s="90">
        <v>3.0018484288354896</v>
      </c>
      <c r="K16" s="91">
        <v>4.2095400340715505</v>
      </c>
      <c r="L16" s="89">
        <v>4.794754846066135</v>
      </c>
      <c r="M16" s="90">
        <v>2.8152610441767068</v>
      </c>
      <c r="N16" s="90">
        <v>3.4926108374384235</v>
      </c>
      <c r="O16" s="90">
        <v>3.6904761904761907</v>
      </c>
      <c r="P16" s="91">
        <v>5.527896995708154</v>
      </c>
      <c r="Q16" s="89">
        <v>4.8</v>
      </c>
      <c r="R16" s="90">
        <v>4.996240601503759</v>
      </c>
      <c r="S16" s="90">
        <v>5.236979166666667</v>
      </c>
      <c r="T16" s="90">
        <v>4.94661921708185</v>
      </c>
      <c r="U16" s="91">
        <v>4.7125</v>
      </c>
      <c r="V16" s="89">
        <v>3.4186991869918697</v>
      </c>
      <c r="W16" s="90">
        <v>4.326923076923077</v>
      </c>
      <c r="X16" s="90">
        <v>4.154970760233918</v>
      </c>
      <c r="Y16" s="90">
        <v>4.637010676156583</v>
      </c>
      <c r="Z16" s="91">
        <v>5.68</v>
      </c>
      <c r="AA16" s="89">
        <v>4.293838862559242</v>
      </c>
      <c r="AB16" s="90">
        <v>3.7132867132867133</v>
      </c>
      <c r="AC16" s="90">
        <v>3.92578125</v>
      </c>
      <c r="AD16" s="90">
        <v>3.511864406779661</v>
      </c>
      <c r="AE16" s="90">
        <v>4.089108910891089</v>
      </c>
      <c r="AF16" s="90">
        <v>6.024561403508772</v>
      </c>
      <c r="AG16" s="90">
        <v>4.383720930232558</v>
      </c>
      <c r="AH16" s="90">
        <v>5.264705882352941</v>
      </c>
      <c r="AI16" s="90">
        <v>4.716666666666667</v>
      </c>
      <c r="AJ16" s="91">
        <v>5.576419213973799</v>
      </c>
      <c r="AM16" s="90"/>
      <c r="AN16" s="90"/>
      <c r="AO16" s="104"/>
    </row>
    <row r="17" spans="1:41" ht="12.75">
      <c r="A17" t="s">
        <v>512</v>
      </c>
      <c r="B17" s="89">
        <v>27.348993288590606</v>
      </c>
      <c r="C17" s="90">
        <v>36.40856672158155</v>
      </c>
      <c r="D17" s="90">
        <v>26.73267326732673</v>
      </c>
      <c r="E17" s="90">
        <v>58.99159663865546</v>
      </c>
      <c r="F17" s="91">
        <v>46.026986506746624</v>
      </c>
      <c r="G17" s="89">
        <v>29.40379403794038</v>
      </c>
      <c r="H17" s="90">
        <v>36.440677966101696</v>
      </c>
      <c r="I17" s="90">
        <v>52.4822695035461</v>
      </c>
      <c r="J17" s="90">
        <v>21.44177449168207</v>
      </c>
      <c r="K17" s="91">
        <v>34.24190800681431</v>
      </c>
      <c r="L17" s="89">
        <v>42.98745724059293</v>
      </c>
      <c r="M17" s="90">
        <v>23.895582329317268</v>
      </c>
      <c r="N17" s="90">
        <v>23.645320197044335</v>
      </c>
      <c r="O17" s="90">
        <v>26.87074829931973</v>
      </c>
      <c r="P17" s="91">
        <v>74.57081545064378</v>
      </c>
      <c r="Q17" s="89">
        <v>40.714285714285715</v>
      </c>
      <c r="R17" s="90">
        <v>24.81203007518797</v>
      </c>
      <c r="S17" s="90">
        <v>52.604166666666664</v>
      </c>
      <c r="T17" s="90">
        <v>27.402135231316727</v>
      </c>
      <c r="U17" s="91">
        <v>31.25</v>
      </c>
      <c r="V17" s="89">
        <v>17.073170731707318</v>
      </c>
      <c r="W17" s="90">
        <v>49.03846153846154</v>
      </c>
      <c r="X17" s="90">
        <v>61.40350877192982</v>
      </c>
      <c r="Y17" s="90">
        <v>32.38434163701068</v>
      </c>
      <c r="Z17" s="91">
        <v>28</v>
      </c>
      <c r="AA17" s="89">
        <v>22.274881516587676</v>
      </c>
      <c r="AB17" s="90">
        <v>23.426573426573427</v>
      </c>
      <c r="AC17" s="90">
        <v>30.46875</v>
      </c>
      <c r="AD17" s="90">
        <v>44.067796610169495</v>
      </c>
      <c r="AE17" s="90">
        <v>37.62376237623762</v>
      </c>
      <c r="AF17" s="90">
        <v>21.403508771929825</v>
      </c>
      <c r="AG17" s="90">
        <v>24.031007751937985</v>
      </c>
      <c r="AH17" s="90">
        <v>39.21568627450981</v>
      </c>
      <c r="AI17" s="90">
        <v>22.5</v>
      </c>
      <c r="AJ17" s="91">
        <v>27.074235807860262</v>
      </c>
      <c r="AM17" s="90"/>
      <c r="AN17" s="90"/>
      <c r="AO17" s="104"/>
    </row>
    <row r="18" spans="1:41" ht="12.75">
      <c r="A18" t="s">
        <v>103</v>
      </c>
      <c r="B18" s="89">
        <v>12</v>
      </c>
      <c r="C18" s="90">
        <v>13</v>
      </c>
      <c r="D18" s="90">
        <v>14</v>
      </c>
      <c r="E18" s="90">
        <v>7</v>
      </c>
      <c r="F18" s="91">
        <v>4</v>
      </c>
      <c r="G18" s="89">
        <v>15</v>
      </c>
      <c r="H18" s="90">
        <v>17</v>
      </c>
      <c r="I18" s="90">
        <v>7</v>
      </c>
      <c r="J18" s="90">
        <v>16</v>
      </c>
      <c r="K18" s="91">
        <v>14</v>
      </c>
      <c r="L18" s="89">
        <v>9</v>
      </c>
      <c r="M18" s="90">
        <v>16</v>
      </c>
      <c r="N18" s="90">
        <v>13</v>
      </c>
      <c r="O18" s="90">
        <v>17</v>
      </c>
      <c r="P18" s="91">
        <v>8</v>
      </c>
      <c r="Q18" s="89">
        <v>9</v>
      </c>
      <c r="R18" s="90">
        <v>8</v>
      </c>
      <c r="S18" s="90">
        <v>16</v>
      </c>
      <c r="T18" s="90">
        <v>10</v>
      </c>
      <c r="U18" s="91">
        <v>14</v>
      </c>
      <c r="V18" s="89">
        <v>12</v>
      </c>
      <c r="W18" s="90">
        <v>10</v>
      </c>
      <c r="X18" s="90">
        <v>10</v>
      </c>
      <c r="Y18" s="90">
        <v>9</v>
      </c>
      <c r="Z18" s="91">
        <v>3</v>
      </c>
      <c r="AA18" s="89">
        <v>12</v>
      </c>
      <c r="AB18" s="90">
        <v>13</v>
      </c>
      <c r="AC18" s="90">
        <v>12</v>
      </c>
      <c r="AD18" s="90">
        <v>13</v>
      </c>
      <c r="AE18" s="90">
        <v>14</v>
      </c>
      <c r="AF18" s="90">
        <v>10</v>
      </c>
      <c r="AG18" s="90">
        <v>7</v>
      </c>
      <c r="AH18" s="90">
        <v>7</v>
      </c>
      <c r="AI18" s="90">
        <v>7</v>
      </c>
      <c r="AJ18" s="91">
        <v>4</v>
      </c>
      <c r="AM18" s="90"/>
      <c r="AN18" s="90"/>
      <c r="AO18" s="104"/>
    </row>
    <row r="19" spans="1:41" ht="12.75">
      <c r="A19" t="s">
        <v>357</v>
      </c>
      <c r="B19" s="89">
        <v>18.624161073825505</v>
      </c>
      <c r="C19" s="90">
        <v>15.321252059308073</v>
      </c>
      <c r="D19" s="90">
        <v>10.608203677510609</v>
      </c>
      <c r="E19" s="90">
        <v>5.2100840336134455</v>
      </c>
      <c r="F19" s="91">
        <v>10.494752623688155</v>
      </c>
      <c r="G19" s="89">
        <v>46.070460704607044</v>
      </c>
      <c r="H19" s="90">
        <v>37.429378531073446</v>
      </c>
      <c r="I19" s="90">
        <v>14.184397163120567</v>
      </c>
      <c r="J19" s="90">
        <v>55.63770794824399</v>
      </c>
      <c r="K19" s="91">
        <v>25.894378194207835</v>
      </c>
      <c r="L19" s="89">
        <v>22.234891676168758</v>
      </c>
      <c r="M19" s="90">
        <v>65.66265060240964</v>
      </c>
      <c r="N19" s="90">
        <v>55.04926108374384</v>
      </c>
      <c r="O19" s="90">
        <v>56.802721088435376</v>
      </c>
      <c r="P19" s="91">
        <v>3.111587982832618</v>
      </c>
      <c r="Q19" s="89">
        <v>12.142857142857142</v>
      </c>
      <c r="R19" s="90">
        <v>10.150375939849624</v>
      </c>
      <c r="S19" s="90">
        <v>13.020833333333334</v>
      </c>
      <c r="T19" s="90">
        <v>12.455516014234876</v>
      </c>
      <c r="U19" s="91">
        <v>15</v>
      </c>
      <c r="V19" s="89">
        <v>47.5609756097561</v>
      </c>
      <c r="W19" s="90">
        <v>14.102564102564102</v>
      </c>
      <c r="X19" s="90">
        <v>9.064327485380117</v>
      </c>
      <c r="Y19" s="90">
        <v>10.676156583629894</v>
      </c>
      <c r="Z19" s="91">
        <v>2</v>
      </c>
      <c r="AA19" s="89">
        <v>36.018957345971565</v>
      </c>
      <c r="AB19" s="90">
        <v>51.04895104895105</v>
      </c>
      <c r="AC19" s="90">
        <v>56.25</v>
      </c>
      <c r="AD19" s="90">
        <v>74.57627118644068</v>
      </c>
      <c r="AE19" s="90">
        <v>59.07590759075907</v>
      </c>
      <c r="AF19" s="90">
        <v>7.719298245614035</v>
      </c>
      <c r="AG19" s="90">
        <v>22.868217054263567</v>
      </c>
      <c r="AH19" s="90">
        <v>8.823529411764707</v>
      </c>
      <c r="AI19" s="90">
        <v>19.583333333333332</v>
      </c>
      <c r="AJ19" s="91">
        <v>3.056768558951965</v>
      </c>
      <c r="AM19" s="90"/>
      <c r="AN19" s="90"/>
      <c r="AO19" s="104"/>
    </row>
    <row r="20" spans="1:41" ht="12.75">
      <c r="A20" t="s">
        <v>358</v>
      </c>
      <c r="B20" s="89">
        <v>38.70967741935484</v>
      </c>
      <c r="C20" s="90">
        <v>41.935483870967744</v>
      </c>
      <c r="D20" s="90">
        <v>36.8421052631579</v>
      </c>
      <c r="E20" s="90">
        <v>28</v>
      </c>
      <c r="F20" s="91">
        <v>25</v>
      </c>
      <c r="G20" s="89">
        <v>39.473684210526315</v>
      </c>
      <c r="H20" s="90">
        <v>43.58974358974359</v>
      </c>
      <c r="I20" s="90">
        <v>31.818181818181817</v>
      </c>
      <c r="J20" s="90">
        <v>41.02564102564103</v>
      </c>
      <c r="K20" s="91">
        <v>43.75</v>
      </c>
      <c r="L20" s="89">
        <v>26.470588235294116</v>
      </c>
      <c r="M20" s="90">
        <v>45.714285714285715</v>
      </c>
      <c r="N20" s="90">
        <v>34.21052631578947</v>
      </c>
      <c r="O20" s="90">
        <v>42.5</v>
      </c>
      <c r="P20" s="91">
        <v>34.78260869565217</v>
      </c>
      <c r="Q20" s="89">
        <v>39.130434782608695</v>
      </c>
      <c r="R20" s="90">
        <v>25</v>
      </c>
      <c r="S20" s="90">
        <v>43.24324324324324</v>
      </c>
      <c r="T20" s="90">
        <v>35.714285714285715</v>
      </c>
      <c r="U20" s="91">
        <v>53.84615384615385</v>
      </c>
      <c r="V20" s="89">
        <v>40</v>
      </c>
      <c r="W20" s="90">
        <v>33.333333333333336</v>
      </c>
      <c r="X20" s="90">
        <v>34.48275862068966</v>
      </c>
      <c r="Y20" s="90">
        <v>31.03448275862069</v>
      </c>
      <c r="Z20" s="91">
        <v>11.538461538461538</v>
      </c>
      <c r="AA20" s="89">
        <v>33.333333333333336</v>
      </c>
      <c r="AB20" s="90">
        <v>36.111111111111114</v>
      </c>
      <c r="AC20" s="90">
        <v>34.285714285714285</v>
      </c>
      <c r="AD20" s="90">
        <v>41.935483870967744</v>
      </c>
      <c r="AE20" s="90">
        <v>45.16129032258065</v>
      </c>
      <c r="AF20" s="90">
        <v>31.25</v>
      </c>
      <c r="AG20" s="90">
        <v>21.875</v>
      </c>
      <c r="AH20" s="90">
        <v>25</v>
      </c>
      <c r="AI20" s="90">
        <v>21.875</v>
      </c>
      <c r="AJ20" s="91">
        <v>18.181818181818183</v>
      </c>
      <c r="AM20" s="90"/>
      <c r="AN20" s="90"/>
      <c r="AO20" s="104"/>
    </row>
    <row r="21" spans="1:41" ht="12.75">
      <c r="A21" t="s">
        <v>104</v>
      </c>
      <c r="B21" s="89">
        <v>50.50335570469799</v>
      </c>
      <c r="C21" s="90">
        <v>50.57660626029654</v>
      </c>
      <c r="D21" s="90">
        <v>65.48797736916549</v>
      </c>
      <c r="E21" s="90">
        <v>67.73109243697479</v>
      </c>
      <c r="F21" s="91">
        <v>72.86356821589206</v>
      </c>
      <c r="G21" s="89">
        <v>21.00271002710027</v>
      </c>
      <c r="H21" s="90">
        <v>22.175141242937855</v>
      </c>
      <c r="I21" s="90">
        <v>68.97163120567376</v>
      </c>
      <c r="J21" s="90">
        <v>17.744916820702404</v>
      </c>
      <c r="K21" s="91">
        <v>45.14480408858603</v>
      </c>
      <c r="L21" s="89">
        <v>66.70467502850627</v>
      </c>
      <c r="M21" s="90">
        <v>28.91566265060241</v>
      </c>
      <c r="N21" s="90">
        <v>28.817733990147783</v>
      </c>
      <c r="O21" s="90">
        <v>35.034013605442176</v>
      </c>
      <c r="P21" s="91">
        <v>89.91416309012875</v>
      </c>
      <c r="Q21" s="89">
        <v>44.285714285714285</v>
      </c>
      <c r="R21" s="90">
        <v>46.61654135338346</v>
      </c>
      <c r="S21" s="90">
        <v>69.53125</v>
      </c>
      <c r="T21" s="90">
        <v>53.02491103202847</v>
      </c>
      <c r="U21" s="91">
        <v>48.333333333333336</v>
      </c>
      <c r="V21" s="89">
        <v>25.609756097560975</v>
      </c>
      <c r="W21" s="90">
        <v>24.03846153846154</v>
      </c>
      <c r="X21" s="90">
        <v>12.573099415204679</v>
      </c>
      <c r="Y21" s="90">
        <v>35.23131672597865</v>
      </c>
      <c r="Z21" s="91">
        <v>60</v>
      </c>
      <c r="AA21" s="89">
        <v>36.018957345971565</v>
      </c>
      <c r="AB21" s="90">
        <v>10.48951048951049</v>
      </c>
      <c r="AC21" s="90">
        <v>19.53125</v>
      </c>
      <c r="AD21" s="90">
        <v>11.525423728813559</v>
      </c>
      <c r="AE21" s="90">
        <v>25.41254125412541</v>
      </c>
      <c r="AF21" s="90">
        <v>41.05263157894737</v>
      </c>
      <c r="AG21" s="90">
        <v>43.798449612403104</v>
      </c>
      <c r="AH21" s="90">
        <v>78.43137254901961</v>
      </c>
      <c r="AI21" s="90">
        <v>49.166666666666664</v>
      </c>
      <c r="AJ21" s="91">
        <v>41.92139737991266</v>
      </c>
      <c r="AM21" s="90"/>
      <c r="AN21" s="90"/>
      <c r="AO21" s="104"/>
    </row>
    <row r="22" spans="1:41" ht="12.75">
      <c r="A22" t="s">
        <v>234</v>
      </c>
      <c r="B22" s="89">
        <v>9</v>
      </c>
      <c r="C22" s="90">
        <v>9</v>
      </c>
      <c r="D22" s="90">
        <v>12</v>
      </c>
      <c r="E22" s="90">
        <v>8</v>
      </c>
      <c r="F22" s="91">
        <v>7</v>
      </c>
      <c r="G22" s="89">
        <v>14</v>
      </c>
      <c r="H22" s="90">
        <v>11</v>
      </c>
      <c r="I22" s="90">
        <v>7</v>
      </c>
      <c r="J22" s="90">
        <v>13</v>
      </c>
      <c r="K22" s="91">
        <v>7</v>
      </c>
      <c r="L22" s="89">
        <v>13</v>
      </c>
      <c r="M22" s="90">
        <v>9</v>
      </c>
      <c r="N22" s="90">
        <v>11</v>
      </c>
      <c r="O22" s="90">
        <v>9</v>
      </c>
      <c r="P22" s="91">
        <v>5</v>
      </c>
      <c r="Q22" s="89">
        <v>8</v>
      </c>
      <c r="R22" s="90">
        <v>11</v>
      </c>
      <c r="S22" s="90">
        <v>7</v>
      </c>
      <c r="T22" s="90">
        <v>8</v>
      </c>
      <c r="U22" s="91">
        <v>5</v>
      </c>
      <c r="V22" s="89">
        <v>8</v>
      </c>
      <c r="W22" s="90">
        <v>9</v>
      </c>
      <c r="X22" s="90">
        <v>9</v>
      </c>
      <c r="Y22" s="90">
        <v>10</v>
      </c>
      <c r="Z22" s="91">
        <v>11</v>
      </c>
      <c r="AA22" s="89">
        <v>10</v>
      </c>
      <c r="AB22" s="90">
        <v>9</v>
      </c>
      <c r="AC22" s="90">
        <v>5</v>
      </c>
      <c r="AD22" s="90">
        <v>8</v>
      </c>
      <c r="AE22" s="90">
        <v>6</v>
      </c>
      <c r="AF22" s="90">
        <v>12</v>
      </c>
      <c r="AG22" s="90">
        <v>12</v>
      </c>
      <c r="AH22" s="90">
        <v>7</v>
      </c>
      <c r="AI22" s="90">
        <v>10</v>
      </c>
      <c r="AJ22" s="91">
        <v>7</v>
      </c>
      <c r="AM22" s="90"/>
      <c r="AN22" s="90"/>
      <c r="AO22" s="104"/>
    </row>
    <row r="23" spans="1:41" ht="12.75">
      <c r="A23" t="s">
        <v>272</v>
      </c>
      <c r="B23" s="89"/>
      <c r="C23" s="90"/>
      <c r="D23" s="90"/>
      <c r="E23" s="90"/>
      <c r="F23" s="91"/>
      <c r="G23" s="89"/>
      <c r="H23" s="90"/>
      <c r="I23" s="90"/>
      <c r="J23" s="90"/>
      <c r="K23" s="91"/>
      <c r="L23" s="89"/>
      <c r="M23" s="90"/>
      <c r="N23" s="90"/>
      <c r="O23" s="90"/>
      <c r="P23" s="91"/>
      <c r="Q23" s="89"/>
      <c r="R23" s="90"/>
      <c r="S23" s="90"/>
      <c r="T23" s="90"/>
      <c r="U23" s="91"/>
      <c r="V23" s="89"/>
      <c r="W23" s="90"/>
      <c r="X23" s="90"/>
      <c r="Y23" s="90"/>
      <c r="Z23" s="91"/>
      <c r="AA23" s="89"/>
      <c r="AB23" s="90"/>
      <c r="AC23" s="90"/>
      <c r="AD23" s="90"/>
      <c r="AE23" s="90"/>
      <c r="AF23" s="90"/>
      <c r="AG23" s="90"/>
      <c r="AH23" s="90"/>
      <c r="AI23" s="90"/>
      <c r="AJ23" s="91"/>
      <c r="AM23" s="90"/>
      <c r="AN23" s="90"/>
      <c r="AO23" s="104"/>
    </row>
    <row r="24" spans="1:41" ht="12.75">
      <c r="A24" t="s">
        <v>273</v>
      </c>
      <c r="B24" s="89"/>
      <c r="C24" s="90"/>
      <c r="D24" s="90"/>
      <c r="E24" s="90"/>
      <c r="F24" s="91"/>
      <c r="G24" s="89"/>
      <c r="H24" s="90"/>
      <c r="I24" s="90"/>
      <c r="J24" s="90"/>
      <c r="K24" s="91"/>
      <c r="L24" s="89"/>
      <c r="M24" s="90"/>
      <c r="N24" s="90"/>
      <c r="O24" s="90"/>
      <c r="P24" s="91"/>
      <c r="Q24" s="89"/>
      <c r="R24" s="90"/>
      <c r="S24" s="90"/>
      <c r="T24" s="90"/>
      <c r="U24" s="91"/>
      <c r="V24" s="89"/>
      <c r="W24" s="90"/>
      <c r="X24" s="90"/>
      <c r="Y24" s="90"/>
      <c r="Z24" s="91"/>
      <c r="AA24" s="89"/>
      <c r="AB24" s="90"/>
      <c r="AC24" s="90"/>
      <c r="AD24" s="90"/>
      <c r="AE24" s="90"/>
      <c r="AF24" s="90"/>
      <c r="AG24" s="90"/>
      <c r="AH24" s="90"/>
      <c r="AI24" s="90"/>
      <c r="AJ24" s="91"/>
      <c r="AM24" s="90"/>
      <c r="AN24" s="90"/>
      <c r="AO24" s="104"/>
    </row>
    <row r="25" spans="1:41" ht="12.75">
      <c r="A25" t="s">
        <v>271</v>
      </c>
      <c r="B25" s="89">
        <v>3</v>
      </c>
      <c r="C25" s="90">
        <v>6</v>
      </c>
      <c r="D25" s="90">
        <v>5</v>
      </c>
      <c r="E25" s="90">
        <v>1</v>
      </c>
      <c r="F25" s="91">
        <v>0</v>
      </c>
      <c r="G25" s="89">
        <v>16</v>
      </c>
      <c r="H25" s="90">
        <v>17</v>
      </c>
      <c r="I25" s="90">
        <v>1</v>
      </c>
      <c r="J25" s="90">
        <v>11</v>
      </c>
      <c r="K25" s="91">
        <v>6</v>
      </c>
      <c r="L25" s="89">
        <v>20</v>
      </c>
      <c r="M25" s="90">
        <v>40</v>
      </c>
      <c r="N25" s="90">
        <v>30</v>
      </c>
      <c r="O25" s="90">
        <v>19</v>
      </c>
      <c r="P25" s="91">
        <v>5</v>
      </c>
      <c r="Q25" s="89">
        <v>2</v>
      </c>
      <c r="R25" s="90">
        <v>1</v>
      </c>
      <c r="S25" s="90">
        <v>5</v>
      </c>
      <c r="T25" s="90">
        <v>0</v>
      </c>
      <c r="U25" s="91">
        <v>2</v>
      </c>
      <c r="V25" s="89">
        <v>4</v>
      </c>
      <c r="W25" s="90">
        <v>3</v>
      </c>
      <c r="X25" s="90">
        <v>6</v>
      </c>
      <c r="Y25" s="90">
        <v>2</v>
      </c>
      <c r="Z25" s="91">
        <v>0</v>
      </c>
      <c r="AA25" s="89">
        <v>10</v>
      </c>
      <c r="AB25" s="90">
        <v>5</v>
      </c>
      <c r="AC25" s="90">
        <v>2</v>
      </c>
      <c r="AD25" s="90">
        <v>6</v>
      </c>
      <c r="AE25" s="90">
        <v>9</v>
      </c>
      <c r="AF25" s="90">
        <v>12</v>
      </c>
      <c r="AG25" s="90">
        <v>5</v>
      </c>
      <c r="AH25" s="90">
        <v>5</v>
      </c>
      <c r="AI25" s="90">
        <v>3</v>
      </c>
      <c r="AJ25" s="91">
        <v>23</v>
      </c>
      <c r="AM25" s="90"/>
      <c r="AN25" s="90"/>
      <c r="AO25" s="104"/>
    </row>
    <row r="26" spans="1:41" ht="12.75">
      <c r="A26" t="s">
        <v>544</v>
      </c>
      <c r="B26" s="92">
        <v>266.64</v>
      </c>
      <c r="C26" s="93">
        <v>711.04</v>
      </c>
      <c r="D26" s="93">
        <v>1185.0666666666664</v>
      </c>
      <c r="E26" s="93">
        <v>59.25333333333333</v>
      </c>
      <c r="F26" s="94">
        <v>0</v>
      </c>
      <c r="G26" s="92">
        <v>711.04</v>
      </c>
      <c r="H26" s="93">
        <v>755.48</v>
      </c>
      <c r="I26" s="93">
        <v>88.88</v>
      </c>
      <c r="J26" s="93">
        <v>1955.36</v>
      </c>
      <c r="K26" s="94">
        <v>533.28</v>
      </c>
      <c r="L26" s="92">
        <v>444.4</v>
      </c>
      <c r="M26" s="93">
        <v>444.4</v>
      </c>
      <c r="N26" s="93">
        <v>1333.2</v>
      </c>
      <c r="O26" s="93">
        <v>562.9066666666666</v>
      </c>
      <c r="P26" s="94">
        <v>888.8</v>
      </c>
      <c r="Q26" s="92">
        <v>355.52</v>
      </c>
      <c r="R26" s="93">
        <v>88.88</v>
      </c>
      <c r="S26" s="93">
        <v>1777.6</v>
      </c>
      <c r="T26" s="93">
        <v>0</v>
      </c>
      <c r="U26" s="94">
        <v>474.02666666666664</v>
      </c>
      <c r="V26" s="92">
        <v>711.04</v>
      </c>
      <c r="W26" s="93">
        <v>355.52</v>
      </c>
      <c r="X26" s="93">
        <v>355.52</v>
      </c>
      <c r="Y26" s="93">
        <v>88.88</v>
      </c>
      <c r="Z26" s="94">
        <v>0</v>
      </c>
      <c r="AA26" s="92">
        <v>111.1</v>
      </c>
      <c r="AB26" s="93">
        <v>222.2</v>
      </c>
      <c r="AC26" s="93">
        <v>177.76</v>
      </c>
      <c r="AD26" s="93">
        <v>266.64</v>
      </c>
      <c r="AE26" s="93">
        <v>533.28</v>
      </c>
      <c r="AF26" s="93">
        <v>170.6496</v>
      </c>
      <c r="AG26" s="93">
        <v>222.2</v>
      </c>
      <c r="AH26" s="93">
        <v>444.4</v>
      </c>
      <c r="AI26" s="93">
        <v>133.32</v>
      </c>
      <c r="AJ26" s="94">
        <v>1022.12</v>
      </c>
      <c r="AM26" s="90"/>
      <c r="AN26" s="90"/>
      <c r="AO26" s="104"/>
    </row>
    <row r="27" spans="39:41" ht="12.75">
      <c r="AM27" s="90"/>
      <c r="AN27" s="90"/>
      <c r="AO27" s="104"/>
    </row>
    <row r="28" spans="4:51" s="53" customFormat="1" ht="12.75">
      <c r="D28" s="59"/>
      <c r="G28" s="59"/>
      <c r="O28" s="59"/>
      <c r="W28" s="59"/>
      <c r="AE28" s="59"/>
      <c r="AO28" s="59"/>
      <c r="AY28" s="59"/>
    </row>
    <row r="29" spans="1:41" ht="12.75">
      <c r="A29" s="2"/>
      <c r="B29" s="2"/>
      <c r="AM29" s="90"/>
      <c r="AN29" s="90"/>
      <c r="AO29" s="104"/>
    </row>
    <row r="30" spans="1:41" ht="12.75">
      <c r="A30" s="2"/>
      <c r="B30" t="s">
        <v>238</v>
      </c>
      <c r="AM30" s="90"/>
      <c r="AN30" s="90"/>
      <c r="AO30" s="104"/>
    </row>
    <row r="31" spans="1:41" ht="12.75">
      <c r="A31" s="2" t="s">
        <v>545</v>
      </c>
      <c r="B31">
        <v>0</v>
      </c>
      <c r="C31">
        <v>0</v>
      </c>
      <c r="D31">
        <v>4</v>
      </c>
      <c r="E31">
        <v>0</v>
      </c>
      <c r="F31">
        <v>40</v>
      </c>
      <c r="G31">
        <v>4</v>
      </c>
      <c r="H31">
        <v>0</v>
      </c>
      <c r="I31">
        <v>68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28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>
        <v>0</v>
      </c>
      <c r="W31">
        <v>0</v>
      </c>
      <c r="X31">
        <v>0</v>
      </c>
      <c r="Y31">
        <v>0</v>
      </c>
      <c r="Z31">
        <v>64</v>
      </c>
      <c r="AA31">
        <v>4</v>
      </c>
      <c r="AB31">
        <v>0</v>
      </c>
      <c r="AC31">
        <v>0</v>
      </c>
      <c r="AD31">
        <v>0</v>
      </c>
      <c r="AE31">
        <v>0</v>
      </c>
      <c r="AF31">
        <v>88</v>
      </c>
      <c r="AG31">
        <v>68</v>
      </c>
      <c r="AH31">
        <v>80</v>
      </c>
      <c r="AI31">
        <v>20</v>
      </c>
      <c r="AJ31">
        <v>100</v>
      </c>
      <c r="AM31" s="90"/>
      <c r="AN31" s="90"/>
      <c r="AO31" s="104"/>
    </row>
    <row r="32" spans="1:41" ht="12.75">
      <c r="A32" s="2" t="s">
        <v>546</v>
      </c>
      <c r="B32">
        <v>0</v>
      </c>
      <c r="C32">
        <v>0</v>
      </c>
      <c r="D32">
        <v>16</v>
      </c>
      <c r="E32">
        <v>48</v>
      </c>
      <c r="F32">
        <v>60</v>
      </c>
      <c r="G32">
        <v>8</v>
      </c>
      <c r="H32">
        <v>4</v>
      </c>
      <c r="I32">
        <v>24</v>
      </c>
      <c r="J32">
        <v>0</v>
      </c>
      <c r="K32">
        <v>40</v>
      </c>
      <c r="L32">
        <v>68</v>
      </c>
      <c r="M32">
        <v>0</v>
      </c>
      <c r="N32">
        <v>0</v>
      </c>
      <c r="O32">
        <v>0</v>
      </c>
      <c r="P32">
        <v>44</v>
      </c>
      <c r="Q32" s="2">
        <v>48</v>
      </c>
      <c r="R32" s="2">
        <v>100</v>
      </c>
      <c r="S32" s="2">
        <v>4</v>
      </c>
      <c r="T32" s="2">
        <v>40</v>
      </c>
      <c r="U32" s="2">
        <v>64</v>
      </c>
      <c r="V32">
        <v>8</v>
      </c>
      <c r="W32">
        <v>8</v>
      </c>
      <c r="X32">
        <v>56</v>
      </c>
      <c r="Y32">
        <v>72</v>
      </c>
      <c r="Z32">
        <v>36</v>
      </c>
      <c r="AA32">
        <v>24</v>
      </c>
      <c r="AB32">
        <v>0</v>
      </c>
      <c r="AC32">
        <v>8</v>
      </c>
      <c r="AD32">
        <v>8</v>
      </c>
      <c r="AE32">
        <v>4</v>
      </c>
      <c r="AF32">
        <v>0</v>
      </c>
      <c r="AG32">
        <v>0</v>
      </c>
      <c r="AH32">
        <v>0</v>
      </c>
      <c r="AI32">
        <v>28</v>
      </c>
      <c r="AJ32">
        <v>0</v>
      </c>
      <c r="AM32" s="90"/>
      <c r="AN32" s="90"/>
      <c r="AO32" s="104"/>
    </row>
    <row r="33" spans="1:41" ht="12.75">
      <c r="A33" s="2" t="s">
        <v>547</v>
      </c>
      <c r="B33">
        <v>36</v>
      </c>
      <c r="C33">
        <v>84</v>
      </c>
      <c r="D33">
        <v>40</v>
      </c>
      <c r="E33">
        <v>40</v>
      </c>
      <c r="F33">
        <v>0</v>
      </c>
      <c r="G33">
        <v>40</v>
      </c>
      <c r="H33">
        <v>76</v>
      </c>
      <c r="I33">
        <v>8</v>
      </c>
      <c r="J33">
        <v>48</v>
      </c>
      <c r="K33">
        <v>44</v>
      </c>
      <c r="L33">
        <v>32</v>
      </c>
      <c r="M33">
        <v>76</v>
      </c>
      <c r="N33">
        <v>100</v>
      </c>
      <c r="O33">
        <v>60</v>
      </c>
      <c r="P33">
        <v>12</v>
      </c>
      <c r="Q33" s="2">
        <v>12</v>
      </c>
      <c r="R33" s="2">
        <v>0</v>
      </c>
      <c r="S33" s="2">
        <v>20</v>
      </c>
      <c r="T33" s="2">
        <v>36</v>
      </c>
      <c r="U33" s="2">
        <v>8</v>
      </c>
      <c r="V33">
        <v>56</v>
      </c>
      <c r="W33">
        <v>72</v>
      </c>
      <c r="X33">
        <v>0</v>
      </c>
      <c r="Y33">
        <v>28</v>
      </c>
      <c r="Z33">
        <v>0</v>
      </c>
      <c r="AA33">
        <v>64</v>
      </c>
      <c r="AB33">
        <v>100</v>
      </c>
      <c r="AC33">
        <v>80</v>
      </c>
      <c r="AD33">
        <v>8</v>
      </c>
      <c r="AE33">
        <v>44</v>
      </c>
      <c r="AF33">
        <v>12</v>
      </c>
      <c r="AG33">
        <v>12</v>
      </c>
      <c r="AH33">
        <v>20</v>
      </c>
      <c r="AI33">
        <v>52</v>
      </c>
      <c r="AJ33">
        <v>0</v>
      </c>
      <c r="AM33" s="90"/>
      <c r="AN33" s="90"/>
      <c r="AO33" s="104"/>
    </row>
    <row r="34" spans="1:41" ht="12.75">
      <c r="A34" s="2" t="s">
        <v>548</v>
      </c>
      <c r="B34">
        <v>64</v>
      </c>
      <c r="C34">
        <v>16</v>
      </c>
      <c r="D34">
        <v>40</v>
      </c>
      <c r="E34">
        <v>12</v>
      </c>
      <c r="F34">
        <v>0</v>
      </c>
      <c r="G34">
        <v>48</v>
      </c>
      <c r="H34">
        <v>20</v>
      </c>
      <c r="I34">
        <v>0</v>
      </c>
      <c r="J34">
        <v>52</v>
      </c>
      <c r="K34">
        <v>16</v>
      </c>
      <c r="L34">
        <v>0</v>
      </c>
      <c r="M34">
        <v>24</v>
      </c>
      <c r="N34">
        <v>0</v>
      </c>
      <c r="O34">
        <v>40</v>
      </c>
      <c r="P34">
        <v>16</v>
      </c>
      <c r="Q34" s="2">
        <v>40</v>
      </c>
      <c r="R34" s="2">
        <v>0</v>
      </c>
      <c r="S34" s="2">
        <v>76</v>
      </c>
      <c r="T34" s="2">
        <v>24</v>
      </c>
      <c r="U34" s="2">
        <v>28</v>
      </c>
      <c r="V34">
        <v>36</v>
      </c>
      <c r="W34">
        <v>16</v>
      </c>
      <c r="X34">
        <v>44</v>
      </c>
      <c r="Y34">
        <v>0</v>
      </c>
      <c r="Z34">
        <v>0</v>
      </c>
      <c r="AA34">
        <v>8</v>
      </c>
      <c r="AB34">
        <v>0</v>
      </c>
      <c r="AC34">
        <v>12</v>
      </c>
      <c r="AD34">
        <v>84</v>
      </c>
      <c r="AE34">
        <v>48</v>
      </c>
      <c r="AF34">
        <v>0</v>
      </c>
      <c r="AG34">
        <v>20</v>
      </c>
      <c r="AH34">
        <v>0</v>
      </c>
      <c r="AI34">
        <v>0</v>
      </c>
      <c r="AJ34">
        <v>0</v>
      </c>
      <c r="AM34" s="90"/>
      <c r="AN34" s="90"/>
      <c r="AO34" s="104"/>
    </row>
    <row r="35" spans="1:41" ht="12.75">
      <c r="A35" s="2" t="s">
        <v>549</v>
      </c>
      <c r="B35" s="2">
        <v>0</v>
      </c>
      <c r="C35" s="2">
        <v>0</v>
      </c>
      <c r="D35" s="2">
        <v>0</v>
      </c>
      <c r="E35" s="2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4</v>
      </c>
      <c r="AF35">
        <v>0</v>
      </c>
      <c r="AG35">
        <v>0</v>
      </c>
      <c r="AH35">
        <v>0</v>
      </c>
      <c r="AI35">
        <v>0</v>
      </c>
      <c r="AJ35">
        <v>0</v>
      </c>
      <c r="AM35" s="90"/>
      <c r="AN35" s="90"/>
      <c r="AO35" s="104"/>
    </row>
    <row r="36" spans="1:41" ht="12.75">
      <c r="A36" s="2" t="s">
        <v>550</v>
      </c>
      <c r="B36" s="2">
        <f>SUM(B31:B32)</f>
        <v>0</v>
      </c>
      <c r="C36" s="2">
        <f aca="true" t="shared" si="0" ref="C36:AJ36">SUM(C31:C32)</f>
        <v>0</v>
      </c>
      <c r="D36" s="2">
        <f t="shared" si="0"/>
        <v>20</v>
      </c>
      <c r="E36" s="2">
        <f t="shared" si="0"/>
        <v>48</v>
      </c>
      <c r="F36" s="2">
        <f t="shared" si="0"/>
        <v>100</v>
      </c>
      <c r="G36" s="2">
        <f t="shared" si="0"/>
        <v>12</v>
      </c>
      <c r="H36" s="2">
        <f t="shared" si="0"/>
        <v>4</v>
      </c>
      <c r="I36" s="2">
        <f t="shared" si="0"/>
        <v>92</v>
      </c>
      <c r="J36" s="2">
        <f t="shared" si="0"/>
        <v>0</v>
      </c>
      <c r="K36" s="2">
        <f t="shared" si="0"/>
        <v>40</v>
      </c>
      <c r="L36" s="2">
        <f t="shared" si="0"/>
        <v>68</v>
      </c>
      <c r="M36" s="2">
        <f t="shared" si="0"/>
        <v>0</v>
      </c>
      <c r="N36" s="2">
        <f t="shared" si="0"/>
        <v>0</v>
      </c>
      <c r="O36" s="2">
        <f t="shared" si="0"/>
        <v>0</v>
      </c>
      <c r="P36" s="2">
        <f t="shared" si="0"/>
        <v>72</v>
      </c>
      <c r="Q36" s="2">
        <f t="shared" si="0"/>
        <v>48</v>
      </c>
      <c r="R36" s="2">
        <f t="shared" si="0"/>
        <v>100</v>
      </c>
      <c r="S36" s="2">
        <f t="shared" si="0"/>
        <v>4</v>
      </c>
      <c r="T36" s="2">
        <f t="shared" si="0"/>
        <v>40</v>
      </c>
      <c r="U36" s="2">
        <f t="shared" si="0"/>
        <v>64</v>
      </c>
      <c r="V36" s="2">
        <f t="shared" si="0"/>
        <v>8</v>
      </c>
      <c r="W36" s="2">
        <f t="shared" si="0"/>
        <v>8</v>
      </c>
      <c r="X36" s="2">
        <f t="shared" si="0"/>
        <v>56</v>
      </c>
      <c r="Y36" s="2">
        <f t="shared" si="0"/>
        <v>72</v>
      </c>
      <c r="Z36" s="2">
        <f t="shared" si="0"/>
        <v>100</v>
      </c>
      <c r="AA36" s="2">
        <f t="shared" si="0"/>
        <v>28</v>
      </c>
      <c r="AB36" s="2">
        <f t="shared" si="0"/>
        <v>0</v>
      </c>
      <c r="AC36" s="2">
        <f t="shared" si="0"/>
        <v>8</v>
      </c>
      <c r="AD36" s="2">
        <f t="shared" si="0"/>
        <v>8</v>
      </c>
      <c r="AE36" s="2">
        <f t="shared" si="0"/>
        <v>4</v>
      </c>
      <c r="AF36" s="2">
        <f t="shared" si="0"/>
        <v>88</v>
      </c>
      <c r="AG36" s="2">
        <f t="shared" si="0"/>
        <v>68</v>
      </c>
      <c r="AH36" s="2">
        <f t="shared" si="0"/>
        <v>80</v>
      </c>
      <c r="AI36" s="2">
        <f t="shared" si="0"/>
        <v>48</v>
      </c>
      <c r="AJ36" s="2">
        <f t="shared" si="0"/>
        <v>100</v>
      </c>
      <c r="AM36" s="90"/>
      <c r="AN36" s="90"/>
      <c r="AO36" s="104"/>
    </row>
    <row r="37" spans="1:4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M37" s="90"/>
      <c r="AN37" s="90"/>
      <c r="AO37" s="104"/>
    </row>
    <row r="38" spans="1:41" ht="12.75">
      <c r="A38" s="2"/>
      <c r="AM38" s="90"/>
      <c r="AN38" s="90"/>
      <c r="AO38" s="104"/>
    </row>
    <row r="39" spans="1:41" ht="12.75">
      <c r="A39" s="2"/>
      <c r="AM39" s="90"/>
      <c r="AN39" s="90"/>
      <c r="AO39" s="104"/>
    </row>
    <row r="40" spans="1:41" ht="12.75">
      <c r="A40" s="2"/>
      <c r="AM40" s="90"/>
      <c r="AN40" s="90"/>
      <c r="AO40" s="104"/>
    </row>
    <row r="41" spans="1:41" ht="12.75">
      <c r="A41" s="2"/>
      <c r="AM41" s="90"/>
      <c r="AN41" s="90"/>
      <c r="AO41" s="104"/>
    </row>
    <row r="42" spans="1:41" ht="12.75">
      <c r="A42" s="2"/>
      <c r="AM42" s="90"/>
      <c r="AN42" s="90"/>
      <c r="AO42" s="104"/>
    </row>
    <row r="43" spans="1:41" ht="12.75">
      <c r="A43" s="2"/>
      <c r="AM43" s="90"/>
      <c r="AN43" s="90"/>
      <c r="AO43" s="104"/>
    </row>
    <row r="44" spans="1:41" ht="12.75">
      <c r="A44" s="2"/>
      <c r="AM44" s="90"/>
      <c r="AN44" s="90"/>
      <c r="AO44" s="104"/>
    </row>
    <row r="45" spans="1:41" ht="12.75">
      <c r="A45" s="2"/>
      <c r="AM45" s="90"/>
      <c r="AN45" s="90"/>
      <c r="AO45" s="104"/>
    </row>
    <row r="46" spans="1:41" ht="12.75">
      <c r="A46" s="2"/>
      <c r="AM46" s="90"/>
      <c r="AN46" s="90"/>
      <c r="AO46" s="104"/>
    </row>
    <row r="47" spans="1:41" ht="12.75">
      <c r="A47" s="2"/>
      <c r="AM47" s="90"/>
      <c r="AN47" s="90"/>
      <c r="AO47" s="104"/>
    </row>
    <row r="48" spans="1:41" ht="12.75">
      <c r="A48" s="2"/>
      <c r="AM48" s="90"/>
      <c r="AN48" s="90"/>
      <c r="AO48" s="104"/>
    </row>
    <row r="49" spans="1:41" ht="12.75">
      <c r="A49" s="2"/>
      <c r="AM49" s="90"/>
      <c r="AN49" s="90"/>
      <c r="AO49" s="90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20"/>
  <sheetViews>
    <sheetView zoomScale="75" zoomScaleNormal="75" workbookViewId="0" topLeftCell="D1">
      <pane xSplit="1" ySplit="12" topLeftCell="E19" activePane="bottomRight" state="frozen"/>
      <selection pane="topLeft" activeCell="D1" sqref="D1"/>
      <selection pane="topRight" activeCell="E1" sqref="E1"/>
      <selection pane="bottomLeft" activeCell="D13" sqref="D13"/>
      <selection pane="bottomRight" activeCell="D29" sqref="A29:IV29"/>
    </sheetView>
  </sheetViews>
  <sheetFormatPr defaultColWidth="9.140625" defaultRowHeight="12.75"/>
  <cols>
    <col min="1" max="1" width="25.7109375" style="53" customWidth="1"/>
    <col min="2" max="2" width="20.7109375" style="53" customWidth="1"/>
    <col min="3" max="3" width="28.7109375" style="53" customWidth="1"/>
    <col min="4" max="4" width="35.421875" style="53" bestFit="1" customWidth="1"/>
    <col min="5" max="6" width="10.7109375" style="53" customWidth="1"/>
    <col min="7" max="26" width="9.140625" style="53" customWidth="1"/>
    <col min="27" max="27" width="9.8515625" style="53" customWidth="1"/>
    <col min="28" max="30" width="9.140625" style="53" customWidth="1"/>
    <col min="31" max="31" width="9.57421875" style="53" bestFit="1" customWidth="1"/>
    <col min="32" max="32" width="9.140625" style="53" customWidth="1"/>
    <col min="33" max="33" width="10.140625" style="53" customWidth="1"/>
    <col min="34" max="34" width="10.57421875" style="53" bestFit="1" customWidth="1"/>
    <col min="35" max="35" width="11.8515625" style="53" customWidth="1"/>
    <col min="36" max="36" width="9.140625" style="53" hidden="1" customWidth="1"/>
    <col min="37" max="37" width="25.140625" style="53" customWidth="1"/>
    <col min="38" max="99" width="9.140625" style="53" customWidth="1"/>
    <col min="100" max="100" width="8.57421875" style="53" bestFit="1" customWidth="1"/>
    <col min="101" max="16384" width="9.140625" style="53" customWidth="1"/>
  </cols>
  <sheetData>
    <row r="1" spans="6:92" ht="12.75">
      <c r="F1" s="101" t="s">
        <v>571</v>
      </c>
      <c r="AL1" s="53" t="s">
        <v>251</v>
      </c>
      <c r="CN1" s="53" t="s">
        <v>511</v>
      </c>
    </row>
    <row r="2" spans="38:92" ht="12.75">
      <c r="AL2" s="53" t="s">
        <v>572</v>
      </c>
      <c r="BL2" s="57" t="s">
        <v>372</v>
      </c>
      <c r="CN2" s="53" t="s">
        <v>441</v>
      </c>
    </row>
    <row r="3" spans="1:64" ht="12.75">
      <c r="A3" s="53" t="s">
        <v>5</v>
      </c>
      <c r="AL3" s="53" t="s">
        <v>573</v>
      </c>
      <c r="BL3" s="57" t="s">
        <v>373</v>
      </c>
    </row>
    <row r="4" spans="6:131" ht="12.75">
      <c r="F4" s="69" t="s">
        <v>17</v>
      </c>
      <c r="T4" s="57" t="s">
        <v>166</v>
      </c>
      <c r="CP4" s="57" t="s">
        <v>519</v>
      </c>
      <c r="CY4" s="57" t="s">
        <v>519</v>
      </c>
      <c r="DH4" s="57" t="s">
        <v>520</v>
      </c>
      <c r="DQ4" s="57" t="s">
        <v>487</v>
      </c>
      <c r="EA4" s="57" t="s">
        <v>487</v>
      </c>
    </row>
    <row r="5" spans="1:135" ht="12.75">
      <c r="A5" s="53" t="s">
        <v>6</v>
      </c>
      <c r="D5" s="59" t="s">
        <v>15</v>
      </c>
      <c r="E5" s="59"/>
      <c r="F5" s="53" t="s">
        <v>54</v>
      </c>
      <c r="G5" s="53" t="s">
        <v>55</v>
      </c>
      <c r="H5" s="53" t="s">
        <v>56</v>
      </c>
      <c r="I5" s="53" t="s">
        <v>57</v>
      </c>
      <c r="J5" s="53" t="s">
        <v>58</v>
      </c>
      <c r="M5" s="53" t="s">
        <v>59</v>
      </c>
      <c r="N5" s="53" t="s">
        <v>60</v>
      </c>
      <c r="O5" s="53" t="s">
        <v>61</v>
      </c>
      <c r="P5" s="53" t="s">
        <v>62</v>
      </c>
      <c r="Q5" s="53" t="s">
        <v>63</v>
      </c>
      <c r="T5" s="53" t="s">
        <v>54</v>
      </c>
      <c r="U5" s="53" t="s">
        <v>55</v>
      </c>
      <c r="V5" s="53" t="s">
        <v>56</v>
      </c>
      <c r="W5" s="53" t="s">
        <v>57</v>
      </c>
      <c r="X5" s="53" t="s">
        <v>58</v>
      </c>
      <c r="AA5" s="53" t="s">
        <v>59</v>
      </c>
      <c r="AB5" s="53" t="s">
        <v>60</v>
      </c>
      <c r="AC5" s="53" t="s">
        <v>61</v>
      </c>
      <c r="AD5" s="53" t="s">
        <v>62</v>
      </c>
      <c r="AE5" s="53" t="s">
        <v>63</v>
      </c>
      <c r="AL5" s="53" t="s">
        <v>252</v>
      </c>
      <c r="AM5" s="53" t="s">
        <v>253</v>
      </c>
      <c r="AN5" s="53" t="s">
        <v>254</v>
      </c>
      <c r="AO5" s="53" t="s">
        <v>255</v>
      </c>
      <c r="AP5" s="53" t="s">
        <v>256</v>
      </c>
      <c r="AS5" s="53" t="s">
        <v>257</v>
      </c>
      <c r="AT5" s="53" t="s">
        <v>258</v>
      </c>
      <c r="AU5" s="53" t="s">
        <v>259</v>
      </c>
      <c r="AV5" s="53" t="s">
        <v>260</v>
      </c>
      <c r="AW5" s="53" t="s">
        <v>261</v>
      </c>
      <c r="BB5" s="53" t="s">
        <v>262</v>
      </c>
      <c r="BC5" s="53" t="s">
        <v>263</v>
      </c>
      <c r="BD5" s="53" t="s">
        <v>264</v>
      </c>
      <c r="BE5" s="53" t="s">
        <v>265</v>
      </c>
      <c r="BF5" s="53" t="s">
        <v>266</v>
      </c>
      <c r="BN5" s="53" t="s">
        <v>252</v>
      </c>
      <c r="BO5" s="53" t="s">
        <v>253</v>
      </c>
      <c r="BP5" s="53" t="s">
        <v>254</v>
      </c>
      <c r="BQ5" s="53" t="s">
        <v>255</v>
      </c>
      <c r="BR5" s="53" t="s">
        <v>256</v>
      </c>
      <c r="BU5" s="53" t="s">
        <v>257</v>
      </c>
      <c r="BV5" s="53" t="s">
        <v>258</v>
      </c>
      <c r="BW5" s="53" t="s">
        <v>259</v>
      </c>
      <c r="BX5" s="53" t="s">
        <v>260</v>
      </c>
      <c r="BY5" s="53" t="s">
        <v>261</v>
      </c>
      <c r="CD5" s="53" t="s">
        <v>262</v>
      </c>
      <c r="CE5" s="53" t="s">
        <v>263</v>
      </c>
      <c r="CF5" s="53" t="s">
        <v>264</v>
      </c>
      <c r="CG5" s="53" t="s">
        <v>265</v>
      </c>
      <c r="CH5" s="53" t="s">
        <v>266</v>
      </c>
      <c r="CP5" s="53" t="s">
        <v>501</v>
      </c>
      <c r="CQ5" s="53" t="s">
        <v>502</v>
      </c>
      <c r="CR5" s="53" t="s">
        <v>503</v>
      </c>
      <c r="CS5" s="53" t="s">
        <v>504</v>
      </c>
      <c r="CT5" s="53" t="s">
        <v>505</v>
      </c>
      <c r="CY5" s="53" t="s">
        <v>501</v>
      </c>
      <c r="CZ5" s="53" t="s">
        <v>502</v>
      </c>
      <c r="DA5" s="53" t="s">
        <v>503</v>
      </c>
      <c r="DB5" s="53" t="s">
        <v>504</v>
      </c>
      <c r="DC5" s="53" t="s">
        <v>505</v>
      </c>
      <c r="DH5" s="53" t="s">
        <v>501</v>
      </c>
      <c r="DI5" s="53" t="s">
        <v>502</v>
      </c>
      <c r="DJ5" s="53" t="s">
        <v>503</v>
      </c>
      <c r="DK5" s="53" t="s">
        <v>504</v>
      </c>
      <c r="DL5" s="53" t="s">
        <v>505</v>
      </c>
      <c r="DQ5" s="53" t="s">
        <v>501</v>
      </c>
      <c r="DR5" s="53" t="s">
        <v>502</v>
      </c>
      <c r="DS5" s="53" t="s">
        <v>503</v>
      </c>
      <c r="DT5" s="53" t="s">
        <v>504</v>
      </c>
      <c r="DU5" s="53" t="s">
        <v>505</v>
      </c>
      <c r="EA5" s="53" t="s">
        <v>501</v>
      </c>
      <c r="EB5" s="53" t="s">
        <v>502</v>
      </c>
      <c r="EC5" s="53" t="s">
        <v>503</v>
      </c>
      <c r="ED5" s="53" t="s">
        <v>504</v>
      </c>
      <c r="EE5" s="53" t="s">
        <v>505</v>
      </c>
    </row>
    <row r="6" spans="4:135" ht="12.75">
      <c r="D6" s="59" t="s">
        <v>67</v>
      </c>
      <c r="E6" s="59"/>
      <c r="F6" s="53">
        <v>3</v>
      </c>
      <c r="G6" s="53">
        <v>3</v>
      </c>
      <c r="H6" s="53">
        <v>3</v>
      </c>
      <c r="I6" s="53">
        <v>3</v>
      </c>
      <c r="J6" s="53">
        <v>3</v>
      </c>
      <c r="M6" s="53">
        <v>3</v>
      </c>
      <c r="N6" s="53">
        <v>3</v>
      </c>
      <c r="O6" s="53">
        <v>3</v>
      </c>
      <c r="P6" s="53">
        <v>3</v>
      </c>
      <c r="Q6" s="53">
        <v>3</v>
      </c>
      <c r="T6" s="53">
        <v>3</v>
      </c>
      <c r="U6" s="53">
        <v>3</v>
      </c>
      <c r="V6" s="53">
        <v>3</v>
      </c>
      <c r="W6" s="53">
        <v>3</v>
      </c>
      <c r="X6" s="53">
        <v>3</v>
      </c>
      <c r="AA6" s="53">
        <v>3</v>
      </c>
      <c r="AB6" s="53">
        <v>3</v>
      </c>
      <c r="AC6" s="53">
        <v>3</v>
      </c>
      <c r="AD6" s="53">
        <v>3</v>
      </c>
      <c r="AE6" s="53">
        <v>3</v>
      </c>
      <c r="AK6" s="59" t="s">
        <v>67</v>
      </c>
      <c r="AL6" s="53">
        <v>3</v>
      </c>
      <c r="AM6" s="53">
        <v>3</v>
      </c>
      <c r="AN6" s="53">
        <v>3</v>
      </c>
      <c r="AO6" s="53">
        <v>3</v>
      </c>
      <c r="AP6" s="53">
        <v>3</v>
      </c>
      <c r="AS6" s="53">
        <v>3</v>
      </c>
      <c r="AT6" s="53">
        <v>3</v>
      </c>
      <c r="AU6" s="53">
        <v>3</v>
      </c>
      <c r="AV6" s="53">
        <v>3</v>
      </c>
      <c r="AW6" s="53">
        <v>3</v>
      </c>
      <c r="BB6" s="53">
        <v>3</v>
      </c>
      <c r="BC6" s="53">
        <v>3</v>
      </c>
      <c r="BD6" s="53">
        <v>3</v>
      </c>
      <c r="BE6" s="53">
        <v>3</v>
      </c>
      <c r="BF6" s="53">
        <v>3</v>
      </c>
      <c r="BM6" s="59" t="s">
        <v>67</v>
      </c>
      <c r="BN6" s="53">
        <v>3</v>
      </c>
      <c r="BO6" s="53">
        <v>3</v>
      </c>
      <c r="BP6" s="53">
        <v>3</v>
      </c>
      <c r="BQ6" s="53">
        <v>3</v>
      </c>
      <c r="BR6" s="53">
        <v>3</v>
      </c>
      <c r="BU6" s="53">
        <v>3</v>
      </c>
      <c r="BV6" s="53">
        <v>3</v>
      </c>
      <c r="BW6" s="53">
        <v>3</v>
      </c>
      <c r="BX6" s="53">
        <v>3</v>
      </c>
      <c r="BY6" s="53">
        <v>3</v>
      </c>
      <c r="CD6" s="53">
        <v>3</v>
      </c>
      <c r="CE6" s="53">
        <v>3</v>
      </c>
      <c r="CF6" s="53">
        <v>3</v>
      </c>
      <c r="CG6" s="53">
        <v>3</v>
      </c>
      <c r="CH6" s="53">
        <v>3</v>
      </c>
      <c r="CO6" s="59" t="s">
        <v>67</v>
      </c>
      <c r="CP6" s="53">
        <v>3</v>
      </c>
      <c r="CQ6" s="53">
        <v>3</v>
      </c>
      <c r="CR6" s="53">
        <v>3</v>
      </c>
      <c r="CS6" s="53">
        <v>3</v>
      </c>
      <c r="CT6" s="53">
        <v>3</v>
      </c>
      <c r="CX6" s="59" t="s">
        <v>67</v>
      </c>
      <c r="CY6" s="53">
        <v>3</v>
      </c>
      <c r="CZ6" s="53">
        <v>3</v>
      </c>
      <c r="DA6" s="53">
        <v>3</v>
      </c>
      <c r="DB6" s="53">
        <v>3</v>
      </c>
      <c r="DC6" s="53">
        <v>3</v>
      </c>
      <c r="DG6" s="59" t="s">
        <v>67</v>
      </c>
      <c r="DH6" s="53">
        <v>3</v>
      </c>
      <c r="DI6" s="53">
        <v>3</v>
      </c>
      <c r="DJ6" s="53">
        <v>3</v>
      </c>
      <c r="DK6" s="53">
        <v>3</v>
      </c>
      <c r="DL6" s="53">
        <v>3</v>
      </c>
      <c r="DP6" s="59" t="s">
        <v>67</v>
      </c>
      <c r="DQ6" s="53">
        <v>3</v>
      </c>
      <c r="DR6" s="53">
        <v>3</v>
      </c>
      <c r="DS6" s="53">
        <v>3</v>
      </c>
      <c r="DT6" s="53">
        <v>3</v>
      </c>
      <c r="DU6" s="53">
        <v>3</v>
      </c>
      <c r="DZ6" s="59" t="s">
        <v>67</v>
      </c>
      <c r="EA6" s="53">
        <v>3</v>
      </c>
      <c r="EB6" s="53">
        <v>3</v>
      </c>
      <c r="EC6" s="53">
        <v>3</v>
      </c>
      <c r="ED6" s="53">
        <v>3</v>
      </c>
      <c r="EE6" s="53">
        <v>3</v>
      </c>
    </row>
    <row r="7" spans="4:135" ht="12.75">
      <c r="D7" s="59" t="s">
        <v>68</v>
      </c>
      <c r="E7" s="59"/>
      <c r="F7" s="53">
        <v>0</v>
      </c>
      <c r="G7" s="53">
        <v>0</v>
      </c>
      <c r="H7" s="53">
        <v>0</v>
      </c>
      <c r="I7" s="53">
        <v>0</v>
      </c>
      <c r="J7" s="53">
        <v>3</v>
      </c>
      <c r="M7" s="53">
        <v>3</v>
      </c>
      <c r="N7" s="53">
        <v>3</v>
      </c>
      <c r="O7" s="53">
        <v>3</v>
      </c>
      <c r="P7" s="53">
        <v>3</v>
      </c>
      <c r="Q7" s="53">
        <v>3</v>
      </c>
      <c r="T7" s="53">
        <v>3</v>
      </c>
      <c r="U7" s="53">
        <v>3</v>
      </c>
      <c r="V7" s="53">
        <v>3</v>
      </c>
      <c r="W7" s="53">
        <v>2</v>
      </c>
      <c r="X7" s="53">
        <v>3</v>
      </c>
      <c r="AA7" s="53">
        <v>3</v>
      </c>
      <c r="AB7" s="53">
        <v>3</v>
      </c>
      <c r="AC7" s="53">
        <v>3</v>
      </c>
      <c r="AD7" s="53">
        <v>2</v>
      </c>
      <c r="AE7" s="53">
        <v>3</v>
      </c>
      <c r="AK7" s="59" t="s">
        <v>68</v>
      </c>
      <c r="AL7" s="53">
        <v>3</v>
      </c>
      <c r="AM7" s="53">
        <v>3</v>
      </c>
      <c r="AN7" s="53">
        <v>3</v>
      </c>
      <c r="AO7" s="53">
        <v>4</v>
      </c>
      <c r="AP7" s="53">
        <v>4</v>
      </c>
      <c r="AS7" s="53">
        <v>3</v>
      </c>
      <c r="AT7" s="53">
        <v>3</v>
      </c>
      <c r="AU7" s="53">
        <v>3</v>
      </c>
      <c r="AV7" s="53">
        <v>3</v>
      </c>
      <c r="AW7" s="53">
        <v>4</v>
      </c>
      <c r="BB7" s="53">
        <v>4</v>
      </c>
      <c r="BC7" s="53">
        <v>4</v>
      </c>
      <c r="BD7" s="53">
        <v>4</v>
      </c>
      <c r="BE7" s="53">
        <v>4</v>
      </c>
      <c r="BF7" s="53">
        <v>3</v>
      </c>
      <c r="BM7" s="59" t="s">
        <v>68</v>
      </c>
      <c r="BN7" s="53">
        <v>3</v>
      </c>
      <c r="BO7" s="53">
        <v>4</v>
      </c>
      <c r="BP7" s="53">
        <v>3</v>
      </c>
      <c r="BQ7" s="53">
        <v>4</v>
      </c>
      <c r="BR7" s="53">
        <v>4</v>
      </c>
      <c r="BU7" s="53">
        <v>3</v>
      </c>
      <c r="BV7" s="53">
        <v>4</v>
      </c>
      <c r="BW7" s="53">
        <v>3</v>
      </c>
      <c r="BX7" s="53">
        <v>4</v>
      </c>
      <c r="BY7" s="53">
        <v>4</v>
      </c>
      <c r="CD7" s="53">
        <v>3</v>
      </c>
      <c r="CE7" s="53">
        <v>5</v>
      </c>
      <c r="CF7" s="53">
        <v>5</v>
      </c>
      <c r="CG7" s="53">
        <v>3</v>
      </c>
      <c r="CH7" s="53">
        <v>3</v>
      </c>
      <c r="CO7" s="59" t="s">
        <v>68</v>
      </c>
      <c r="CP7" s="61">
        <v>0.0625</v>
      </c>
      <c r="CQ7" s="61">
        <v>0.046875</v>
      </c>
      <c r="CR7" s="61">
        <v>0.03125</v>
      </c>
      <c r="CS7" s="61">
        <v>0.09375</v>
      </c>
      <c r="CT7" s="61">
        <v>0.125</v>
      </c>
      <c r="CU7" s="61"/>
      <c r="CV7" s="61"/>
      <c r="CW7" s="61"/>
      <c r="CX7" s="59" t="s">
        <v>68</v>
      </c>
      <c r="CY7" s="61">
        <v>0.09375</v>
      </c>
      <c r="CZ7" s="61">
        <v>0.03125</v>
      </c>
      <c r="DA7" s="61">
        <v>0.0625</v>
      </c>
      <c r="DB7" s="61">
        <v>0.125</v>
      </c>
      <c r="DC7" s="61">
        <v>0.03125</v>
      </c>
      <c r="DD7" s="61"/>
      <c r="DE7" s="61"/>
      <c r="DF7" s="61"/>
      <c r="DG7" s="59" t="s">
        <v>68</v>
      </c>
      <c r="DH7" s="61">
        <v>0.125</v>
      </c>
      <c r="DI7" s="61">
        <v>0.25</v>
      </c>
      <c r="DJ7" s="61">
        <v>0.0625</v>
      </c>
      <c r="DK7" s="61">
        <v>0.09375</v>
      </c>
      <c r="DL7" s="61">
        <v>0.09375</v>
      </c>
      <c r="DM7" s="61"/>
      <c r="DP7" s="59" t="s">
        <v>68</v>
      </c>
      <c r="DQ7" s="61">
        <v>0.03125</v>
      </c>
      <c r="DR7" s="61">
        <v>0.046875</v>
      </c>
      <c r="DS7" s="61">
        <v>0.046875</v>
      </c>
      <c r="DT7" s="61">
        <v>0.015625</v>
      </c>
      <c r="DU7" s="61">
        <v>0.015625</v>
      </c>
      <c r="DZ7" s="59" t="s">
        <v>68</v>
      </c>
      <c r="EA7" s="61">
        <v>0.046875</v>
      </c>
      <c r="EB7" s="61">
        <v>0.03125</v>
      </c>
      <c r="EC7" s="61">
        <v>0.03125</v>
      </c>
      <c r="ED7" s="61">
        <v>0.09375</v>
      </c>
      <c r="EE7" s="61">
        <v>0.09375</v>
      </c>
    </row>
    <row r="8" spans="1:130" ht="12.75">
      <c r="A8" s="53" t="s">
        <v>0</v>
      </c>
      <c r="D8" s="59" t="s">
        <v>16</v>
      </c>
      <c r="F8" s="53" t="s">
        <v>69</v>
      </c>
      <c r="G8" s="53" t="s">
        <v>70</v>
      </c>
      <c r="H8" s="53" t="s">
        <v>71</v>
      </c>
      <c r="I8" s="53" t="s">
        <v>71</v>
      </c>
      <c r="J8" s="53" t="s">
        <v>69</v>
      </c>
      <c r="M8" s="53" t="s">
        <v>69</v>
      </c>
      <c r="N8" s="53" t="s">
        <v>69</v>
      </c>
      <c r="O8" s="53" t="s">
        <v>140</v>
      </c>
      <c r="P8" s="53" t="s">
        <v>140</v>
      </c>
      <c r="Q8" s="53" t="s">
        <v>72</v>
      </c>
      <c r="T8" s="53" t="s">
        <v>167</v>
      </c>
      <c r="U8" s="53" t="s">
        <v>167</v>
      </c>
      <c r="V8" s="53" t="s">
        <v>167</v>
      </c>
      <c r="W8" s="53" t="s">
        <v>193</v>
      </c>
      <c r="X8" s="53" t="s">
        <v>69</v>
      </c>
      <c r="AA8" s="53" t="s">
        <v>69</v>
      </c>
      <c r="AB8" s="53" t="s">
        <v>71</v>
      </c>
      <c r="AC8" s="53" t="s">
        <v>71</v>
      </c>
      <c r="AD8" s="53" t="s">
        <v>70</v>
      </c>
      <c r="AE8" s="53" t="s">
        <v>216</v>
      </c>
      <c r="AK8" s="59" t="s">
        <v>16</v>
      </c>
      <c r="AL8" s="53" t="s">
        <v>274</v>
      </c>
      <c r="AM8" s="53" t="s">
        <v>274</v>
      </c>
      <c r="AN8" s="53" t="s">
        <v>292</v>
      </c>
      <c r="AO8" s="53" t="s">
        <v>292</v>
      </c>
      <c r="AP8" s="53" t="s">
        <v>292</v>
      </c>
      <c r="AS8" s="53" t="s">
        <v>292</v>
      </c>
      <c r="AT8" s="53" t="s">
        <v>292</v>
      </c>
      <c r="AU8" s="53" t="s">
        <v>292</v>
      </c>
      <c r="AV8" s="53" t="s">
        <v>69</v>
      </c>
      <c r="AW8" s="53" t="s">
        <v>306</v>
      </c>
      <c r="BB8" s="53" t="s">
        <v>72</v>
      </c>
      <c r="BC8" s="53" t="s">
        <v>72</v>
      </c>
      <c r="BD8" s="53" t="s">
        <v>292</v>
      </c>
      <c r="BE8" s="53" t="s">
        <v>309</v>
      </c>
      <c r="BF8" s="53" t="s">
        <v>314</v>
      </c>
      <c r="BM8" s="59" t="s">
        <v>16</v>
      </c>
      <c r="BN8" s="53" t="s">
        <v>374</v>
      </c>
      <c r="BO8" s="53" t="s">
        <v>374</v>
      </c>
      <c r="BP8" s="53" t="s">
        <v>374</v>
      </c>
      <c r="BQ8" s="53" t="s">
        <v>378</v>
      </c>
      <c r="BR8" s="53" t="s">
        <v>374</v>
      </c>
      <c r="BU8" s="53" t="s">
        <v>382</v>
      </c>
      <c r="BV8" s="53" t="s">
        <v>382</v>
      </c>
      <c r="BW8" s="53" t="s">
        <v>382</v>
      </c>
      <c r="BX8" s="53" t="s">
        <v>389</v>
      </c>
      <c r="BY8" s="53" t="s">
        <v>374</v>
      </c>
      <c r="CD8" s="53" t="s">
        <v>382</v>
      </c>
      <c r="CE8" s="53" t="s">
        <v>389</v>
      </c>
      <c r="CF8" s="53" t="s">
        <v>389</v>
      </c>
      <c r="CG8" s="53" t="s">
        <v>389</v>
      </c>
      <c r="CH8" s="53" t="s">
        <v>398</v>
      </c>
      <c r="CO8" s="59" t="s">
        <v>16</v>
      </c>
      <c r="CX8" s="59" t="s">
        <v>16</v>
      </c>
      <c r="DG8" s="59" t="s">
        <v>16</v>
      </c>
      <c r="DP8" s="59" t="s">
        <v>16</v>
      </c>
      <c r="DZ8" s="59" t="s">
        <v>16</v>
      </c>
    </row>
    <row r="9" spans="4:130" ht="12.75">
      <c r="D9" s="59" t="s">
        <v>320</v>
      </c>
      <c r="F9" s="53">
        <v>3</v>
      </c>
      <c r="G9" s="53">
        <v>1</v>
      </c>
      <c r="H9" s="53">
        <v>4</v>
      </c>
      <c r="I9" s="53">
        <v>4</v>
      </c>
      <c r="J9" s="53">
        <v>3</v>
      </c>
      <c r="M9" s="53">
        <v>3</v>
      </c>
      <c r="N9" s="53">
        <v>3</v>
      </c>
      <c r="O9" s="53">
        <v>2</v>
      </c>
      <c r="P9" s="53">
        <v>2</v>
      </c>
      <c r="Q9" s="53">
        <v>3</v>
      </c>
      <c r="T9" s="53">
        <v>1</v>
      </c>
      <c r="U9" s="53">
        <v>1</v>
      </c>
      <c r="V9" s="53">
        <v>1</v>
      </c>
      <c r="W9" s="53">
        <v>1</v>
      </c>
      <c r="X9" s="53">
        <v>3</v>
      </c>
      <c r="AA9" s="53">
        <v>3</v>
      </c>
      <c r="AB9" s="53">
        <v>4</v>
      </c>
      <c r="AC9" s="53">
        <v>4</v>
      </c>
      <c r="AD9" s="53">
        <v>1</v>
      </c>
      <c r="AE9" s="53">
        <v>1</v>
      </c>
      <c r="AK9" s="59" t="s">
        <v>320</v>
      </c>
      <c r="AL9" s="53">
        <v>6</v>
      </c>
      <c r="AM9" s="53">
        <v>6</v>
      </c>
      <c r="AN9" s="53">
        <v>5</v>
      </c>
      <c r="AO9" s="53">
        <v>5</v>
      </c>
      <c r="AP9" s="53">
        <v>5</v>
      </c>
      <c r="AS9" s="53">
        <v>5</v>
      </c>
      <c r="AT9" s="53">
        <v>5</v>
      </c>
      <c r="AU9" s="53">
        <v>5</v>
      </c>
      <c r="AV9" s="53">
        <v>3</v>
      </c>
      <c r="AW9" s="53">
        <v>6</v>
      </c>
      <c r="BB9" s="53">
        <v>3</v>
      </c>
      <c r="BC9" s="53">
        <v>3</v>
      </c>
      <c r="BD9" s="53">
        <v>5</v>
      </c>
      <c r="BE9" s="53">
        <v>3</v>
      </c>
      <c r="BF9" s="53">
        <v>6</v>
      </c>
      <c r="BM9" s="59" t="s">
        <v>320</v>
      </c>
      <c r="CO9" s="59" t="s">
        <v>320</v>
      </c>
      <c r="CX9" s="59" t="s">
        <v>320</v>
      </c>
      <c r="DG9" s="59" t="s">
        <v>320</v>
      </c>
      <c r="DP9" s="59" t="s">
        <v>320</v>
      </c>
      <c r="DZ9" s="59" t="s">
        <v>320</v>
      </c>
    </row>
    <row r="10" spans="1:135" ht="12.75">
      <c r="A10" s="53" t="s">
        <v>7</v>
      </c>
      <c r="D10" s="59" t="s">
        <v>64</v>
      </c>
      <c r="F10" s="53" t="s">
        <v>66</v>
      </c>
      <c r="G10" s="53" t="s">
        <v>66</v>
      </c>
      <c r="H10" s="53" t="s">
        <v>66</v>
      </c>
      <c r="I10" s="53" t="s">
        <v>66</v>
      </c>
      <c r="J10" s="53" t="s">
        <v>66</v>
      </c>
      <c r="M10" s="53" t="s">
        <v>65</v>
      </c>
      <c r="N10" s="53" t="s">
        <v>65</v>
      </c>
      <c r="O10" s="53" t="s">
        <v>65</v>
      </c>
      <c r="P10" s="53" t="s">
        <v>65</v>
      </c>
      <c r="Q10" s="53" t="s">
        <v>65</v>
      </c>
      <c r="T10" s="53" t="s">
        <v>65</v>
      </c>
      <c r="U10" s="53" t="s">
        <v>65</v>
      </c>
      <c r="V10" s="53" t="s">
        <v>65</v>
      </c>
      <c r="W10" s="53" t="s">
        <v>65</v>
      </c>
      <c r="X10" s="53" t="s">
        <v>65</v>
      </c>
      <c r="AA10" s="53" t="s">
        <v>66</v>
      </c>
      <c r="AB10" s="53" t="s">
        <v>66</v>
      </c>
      <c r="AC10" s="53" t="s">
        <v>66</v>
      </c>
      <c r="AD10" s="53" t="s">
        <v>66</v>
      </c>
      <c r="AE10" s="53" t="s">
        <v>66</v>
      </c>
      <c r="AK10" s="59" t="s">
        <v>269</v>
      </c>
      <c r="AL10" s="53" t="s">
        <v>65</v>
      </c>
      <c r="AM10" s="53" t="s">
        <v>65</v>
      </c>
      <c r="AN10" s="53" t="s">
        <v>65</v>
      </c>
      <c r="AO10" s="53" t="s">
        <v>65</v>
      </c>
      <c r="AP10" s="53" t="s">
        <v>65</v>
      </c>
      <c r="AS10" s="53" t="s">
        <v>66</v>
      </c>
      <c r="AT10" s="53" t="s">
        <v>66</v>
      </c>
      <c r="AU10" s="53" t="s">
        <v>66</v>
      </c>
      <c r="AV10" s="53" t="s">
        <v>66</v>
      </c>
      <c r="AW10" s="53" t="s">
        <v>66</v>
      </c>
      <c r="BB10" s="53" t="s">
        <v>275</v>
      </c>
      <c r="BC10" s="53" t="s">
        <v>275</v>
      </c>
      <c r="BD10" s="53" t="s">
        <v>275</v>
      </c>
      <c r="BE10" s="53" t="s">
        <v>275</v>
      </c>
      <c r="BF10" s="53" t="s">
        <v>275</v>
      </c>
      <c r="BM10" s="59" t="s">
        <v>269</v>
      </c>
      <c r="BN10" s="53" t="s">
        <v>65</v>
      </c>
      <c r="BO10" s="53" t="s">
        <v>65</v>
      </c>
      <c r="BP10" s="53" t="s">
        <v>65</v>
      </c>
      <c r="BQ10" s="53" t="s">
        <v>65</v>
      </c>
      <c r="BR10" s="53" t="s">
        <v>65</v>
      </c>
      <c r="BU10" s="53" t="s">
        <v>66</v>
      </c>
      <c r="BV10" s="53" t="s">
        <v>66</v>
      </c>
      <c r="BW10" s="53" t="s">
        <v>66</v>
      </c>
      <c r="BX10" s="53" t="s">
        <v>66</v>
      </c>
      <c r="BY10" s="53" t="s">
        <v>66</v>
      </c>
      <c r="CD10" s="53" t="s">
        <v>275</v>
      </c>
      <c r="CE10" s="53" t="s">
        <v>275</v>
      </c>
      <c r="CF10" s="53" t="s">
        <v>275</v>
      </c>
      <c r="CG10" s="53" t="s">
        <v>275</v>
      </c>
      <c r="CH10" s="53" t="s">
        <v>275</v>
      </c>
      <c r="CO10" s="59" t="s">
        <v>269</v>
      </c>
      <c r="CP10" s="53" t="s">
        <v>65</v>
      </c>
      <c r="CQ10" s="53" t="s">
        <v>65</v>
      </c>
      <c r="CR10" s="53" t="s">
        <v>65</v>
      </c>
      <c r="CS10" s="53" t="s">
        <v>65</v>
      </c>
      <c r="CT10" s="53" t="s">
        <v>65</v>
      </c>
      <c r="CX10" s="59" t="s">
        <v>269</v>
      </c>
      <c r="CY10" s="53" t="s">
        <v>66</v>
      </c>
      <c r="CZ10" s="53" t="s">
        <v>66</v>
      </c>
      <c r="DA10" s="53" t="s">
        <v>66</v>
      </c>
      <c r="DB10" s="53" t="s">
        <v>66</v>
      </c>
      <c r="DC10" s="53" t="s">
        <v>66</v>
      </c>
      <c r="DG10" s="59" t="s">
        <v>269</v>
      </c>
      <c r="DH10" s="53" t="s">
        <v>275</v>
      </c>
      <c r="DI10" s="53" t="s">
        <v>275</v>
      </c>
      <c r="DJ10" s="53" t="s">
        <v>275</v>
      </c>
      <c r="DK10" s="53" t="s">
        <v>275</v>
      </c>
      <c r="DL10" s="53" t="s">
        <v>275</v>
      </c>
      <c r="DP10" s="59" t="s">
        <v>269</v>
      </c>
      <c r="DQ10" s="53" t="s">
        <v>65</v>
      </c>
      <c r="DR10" s="53" t="s">
        <v>65</v>
      </c>
      <c r="DS10" s="53" t="s">
        <v>65</v>
      </c>
      <c r="DT10" s="53" t="s">
        <v>65</v>
      </c>
      <c r="DU10" s="53" t="s">
        <v>65</v>
      </c>
      <c r="DZ10" s="59" t="s">
        <v>269</v>
      </c>
      <c r="EA10" s="53" t="s">
        <v>66</v>
      </c>
      <c r="EB10" s="53" t="s">
        <v>66</v>
      </c>
      <c r="EC10" s="53" t="s">
        <v>66</v>
      </c>
      <c r="ED10" s="53" t="s">
        <v>66</v>
      </c>
      <c r="EE10" s="53" t="s">
        <v>66</v>
      </c>
    </row>
    <row r="11" spans="5:89" ht="12.75">
      <c r="E11" s="54" t="s">
        <v>105</v>
      </c>
      <c r="K11" s="53" t="s">
        <v>162</v>
      </c>
      <c r="R11" s="53" t="s">
        <v>162</v>
      </c>
      <c r="Y11" s="53" t="s">
        <v>162</v>
      </c>
      <c r="AF11" s="53" t="s">
        <v>162</v>
      </c>
      <c r="AH11" s="53" t="s">
        <v>268</v>
      </c>
      <c r="AQ11" s="53" t="s">
        <v>162</v>
      </c>
      <c r="AX11" s="53" t="s">
        <v>162</v>
      </c>
      <c r="BG11" s="53" t="s">
        <v>162</v>
      </c>
      <c r="CB11" s="53" t="s">
        <v>325</v>
      </c>
      <c r="CK11" s="53" t="s">
        <v>328</v>
      </c>
    </row>
    <row r="12" spans="1:89" ht="13.5" thickBot="1">
      <c r="A12" s="62" t="s">
        <v>1</v>
      </c>
      <c r="B12" s="62" t="s">
        <v>2</v>
      </c>
      <c r="C12" s="62" t="s">
        <v>3</v>
      </c>
      <c r="D12" s="62" t="s">
        <v>4</v>
      </c>
      <c r="E12" s="54" t="s">
        <v>106</v>
      </c>
      <c r="AH12" s="62" t="s">
        <v>243</v>
      </c>
      <c r="AI12" s="70"/>
      <c r="AJ12" s="70"/>
      <c r="CB12" s="53" t="s">
        <v>243</v>
      </c>
      <c r="CK12" s="53" t="s">
        <v>243</v>
      </c>
    </row>
    <row r="13" spans="1:135" ht="13.5" thickTop="1">
      <c r="A13" s="53" t="s">
        <v>8</v>
      </c>
      <c r="B13" s="53" t="s">
        <v>9</v>
      </c>
      <c r="C13" s="53" t="s">
        <v>10</v>
      </c>
      <c r="D13" s="53" t="s">
        <v>276</v>
      </c>
      <c r="E13" s="53">
        <v>4</v>
      </c>
      <c r="F13" s="53">
        <v>340</v>
      </c>
      <c r="G13" s="53">
        <v>8</v>
      </c>
      <c r="H13" s="53">
        <v>846</v>
      </c>
      <c r="I13" s="53">
        <v>747</v>
      </c>
      <c r="J13" s="53">
        <v>144</v>
      </c>
      <c r="K13" s="53">
        <f>SUM(F13:J13)</f>
        <v>2085</v>
      </c>
      <c r="M13" s="53">
        <v>49</v>
      </c>
      <c r="N13" s="53">
        <v>50</v>
      </c>
      <c r="O13" s="53">
        <v>2</v>
      </c>
      <c r="P13" s="53">
        <v>5</v>
      </c>
      <c r="Q13" s="53">
        <v>17</v>
      </c>
      <c r="R13" s="53">
        <f>SUM(M13:Q13)</f>
        <v>123</v>
      </c>
      <c r="X13" s="53">
        <v>1</v>
      </c>
      <c r="Y13" s="53">
        <f aca="true" t="shared" si="0" ref="Y13:Y74">SUM(T13:X13)</f>
        <v>1</v>
      </c>
      <c r="AA13" s="53">
        <v>70</v>
      </c>
      <c r="AB13" s="53">
        <v>93</v>
      </c>
      <c r="AC13" s="53">
        <v>64</v>
      </c>
      <c r="AD13" s="53">
        <v>23</v>
      </c>
      <c r="AE13" s="53">
        <v>39</v>
      </c>
      <c r="AF13" s="53">
        <f>SUM(AA13:AE13)</f>
        <v>289</v>
      </c>
      <c r="AH13" s="71">
        <f aca="true" t="shared" si="1" ref="AH13:AH43">100*SUM(F13:J13,M13:Q13,T13:X13,AA13:AE13)/SUM($K$169,$R$169,$Y$169,$AF$169)</f>
        <v>19.477582846003898</v>
      </c>
      <c r="AI13" s="66"/>
      <c r="AJ13" s="66"/>
      <c r="AL13" s="53">
        <v>59</v>
      </c>
      <c r="AM13" s="53">
        <v>18</v>
      </c>
      <c r="AN13" s="53">
        <v>5</v>
      </c>
      <c r="AO13" s="53">
        <v>9</v>
      </c>
      <c r="AP13" s="53">
        <v>2</v>
      </c>
      <c r="AQ13" s="53">
        <f>SUM(AL13:AP13)</f>
        <v>93</v>
      </c>
      <c r="AS13" s="53">
        <v>74</v>
      </c>
      <c r="AT13" s="53">
        <v>74</v>
      </c>
      <c r="AU13" s="53">
        <v>84</v>
      </c>
      <c r="AV13" s="53">
        <v>5</v>
      </c>
      <c r="AW13" s="53">
        <v>28</v>
      </c>
      <c r="AX13" s="53">
        <f>SUM(AS13:AW13)</f>
        <v>265</v>
      </c>
      <c r="BB13" s="53">
        <v>4</v>
      </c>
      <c r="BC13" s="53">
        <v>6</v>
      </c>
      <c r="BD13" s="53">
        <v>9</v>
      </c>
      <c r="BE13" s="53">
        <v>23</v>
      </c>
      <c r="BF13" s="53">
        <v>8</v>
      </c>
      <c r="BG13" s="53">
        <f>SUM(BB13:BF13)</f>
        <v>50</v>
      </c>
      <c r="BN13" s="53">
        <v>71</v>
      </c>
      <c r="BO13" s="53">
        <v>10</v>
      </c>
      <c r="BP13" s="53">
        <v>5</v>
      </c>
      <c r="BQ13" s="53">
        <v>9</v>
      </c>
      <c r="BR13" s="53">
        <v>8</v>
      </c>
      <c r="BS13" s="53">
        <f>SUM(BN13:BR13)</f>
        <v>103</v>
      </c>
      <c r="BU13" s="53">
        <v>189</v>
      </c>
      <c r="BV13" s="53">
        <v>132</v>
      </c>
      <c r="BW13" s="53">
        <v>147</v>
      </c>
      <c r="BX13" s="53">
        <v>38</v>
      </c>
      <c r="BY13" s="53">
        <v>82</v>
      </c>
      <c r="BZ13" s="53">
        <f>SUM(BU13:BY13)</f>
        <v>588</v>
      </c>
      <c r="CB13" s="71">
        <f aca="true" t="shared" si="2" ref="CB13:CB20">100*SUM($AL13:$AP13,$AS13:$AW13,$BN13:$BR13,$BU13:$BY13)/SUM($AQ$169,$AX$169,$BS$169,$BZ$169)</f>
        <v>9.7508830637665</v>
      </c>
      <c r="CD13" s="53">
        <v>5</v>
      </c>
      <c r="CE13" s="53">
        <v>2</v>
      </c>
      <c r="CF13" s="53">
        <v>13</v>
      </c>
      <c r="CG13" s="53">
        <v>10</v>
      </c>
      <c r="CH13" s="53">
        <v>6</v>
      </c>
      <c r="CI13" s="53">
        <f>SUM(CD13:CH13)</f>
        <v>36</v>
      </c>
      <c r="CK13" s="66">
        <f aca="true" t="shared" si="3" ref="CK13:CK20">100*(BG13+CI13)/($BG$169+$CI$169)</f>
        <v>1.4758881070876952</v>
      </c>
      <c r="CL13" s="66"/>
      <c r="CM13" s="66"/>
      <c r="CY13" s="53">
        <v>3</v>
      </c>
      <c r="CZ13" s="53">
        <v>1</v>
      </c>
      <c r="DA13" s="53">
        <v>1</v>
      </c>
      <c r="DB13" s="53">
        <v>3</v>
      </c>
      <c r="DH13" s="53">
        <v>3</v>
      </c>
      <c r="DI13" s="53">
        <v>5</v>
      </c>
      <c r="DJ13" s="53">
        <v>2</v>
      </c>
      <c r="DV13" s="66"/>
      <c r="EA13" s="53">
        <v>1</v>
      </c>
      <c r="EB13" s="53">
        <v>1</v>
      </c>
      <c r="EC13" s="53">
        <v>1</v>
      </c>
      <c r="EE13" s="53">
        <v>1</v>
      </c>
    </row>
    <row r="14" spans="4:133" ht="12.75">
      <c r="D14" s="53" t="s">
        <v>279</v>
      </c>
      <c r="E14" s="53">
        <v>4</v>
      </c>
      <c r="K14" s="53">
        <f aca="true" t="shared" si="4" ref="K14:K85">SUM(F14:J14)</f>
        <v>0</v>
      </c>
      <c r="R14" s="53">
        <f aca="true" t="shared" si="5" ref="R14:R75">SUM(M14:Q14)</f>
        <v>0</v>
      </c>
      <c r="Y14" s="53">
        <f t="shared" si="0"/>
        <v>0</v>
      </c>
      <c r="AF14" s="53">
        <f aca="true" t="shared" si="6" ref="AF14:AF75">SUM(AA14:AE14)</f>
        <v>0</v>
      </c>
      <c r="AH14" s="71">
        <f t="shared" si="1"/>
        <v>0</v>
      </c>
      <c r="AI14" s="66"/>
      <c r="AJ14" s="66"/>
      <c r="AL14" s="53">
        <v>3</v>
      </c>
      <c r="AM14" s="53">
        <v>2</v>
      </c>
      <c r="AN14" s="53">
        <v>7</v>
      </c>
      <c r="AO14" s="53">
        <v>1</v>
      </c>
      <c r="AQ14" s="53">
        <f aca="true" t="shared" si="7" ref="AQ14:AQ85">SUM(AL14:AP14)</f>
        <v>13</v>
      </c>
      <c r="AS14" s="53">
        <v>3</v>
      </c>
      <c r="AT14" s="53">
        <v>1</v>
      </c>
      <c r="AU14" s="53">
        <v>1</v>
      </c>
      <c r="AW14" s="53">
        <v>1</v>
      </c>
      <c r="AX14" s="53">
        <f aca="true" t="shared" si="8" ref="AX14:AX85">SUM(AS14:AW14)</f>
        <v>6</v>
      </c>
      <c r="BB14" s="53">
        <v>1</v>
      </c>
      <c r="BE14" s="53">
        <v>1</v>
      </c>
      <c r="BF14" s="53">
        <v>4</v>
      </c>
      <c r="BG14" s="53">
        <f aca="true" t="shared" si="9" ref="BG14:BG85">SUM(BB14:BF14)</f>
        <v>6</v>
      </c>
      <c r="BN14" s="53">
        <v>7</v>
      </c>
      <c r="BO14" s="53">
        <v>2</v>
      </c>
      <c r="BP14" s="53">
        <v>2</v>
      </c>
      <c r="BQ14" s="53">
        <v>1</v>
      </c>
      <c r="BR14" s="53">
        <v>2</v>
      </c>
      <c r="BS14" s="53">
        <f aca="true" t="shared" si="10" ref="BS14:BS85">SUM(BN14:BR14)</f>
        <v>14</v>
      </c>
      <c r="BU14" s="53">
        <v>1</v>
      </c>
      <c r="BY14" s="53">
        <v>1</v>
      </c>
      <c r="BZ14" s="53">
        <f aca="true" t="shared" si="11" ref="BZ14:BZ85">SUM(BU14:BY14)</f>
        <v>2</v>
      </c>
      <c r="CB14" s="71">
        <f t="shared" si="2"/>
        <v>0.3253392823944971</v>
      </c>
      <c r="CI14" s="53">
        <f aca="true" t="shared" si="12" ref="CI14:CI85">SUM(CD14:CH14)</f>
        <v>0</v>
      </c>
      <c r="CK14" s="66">
        <f t="shared" si="3"/>
        <v>0.10296893770379269</v>
      </c>
      <c r="CL14" s="66"/>
      <c r="CM14" s="66"/>
      <c r="CS14" s="53">
        <v>1</v>
      </c>
      <c r="CT14" s="53">
        <v>7</v>
      </c>
      <c r="CY14" s="53">
        <v>2</v>
      </c>
      <c r="DS14" s="53">
        <v>2</v>
      </c>
      <c r="DT14" s="53">
        <v>3</v>
      </c>
      <c r="DU14" s="53">
        <v>1</v>
      </c>
      <c r="DV14" s="66"/>
      <c r="EA14" s="53">
        <v>1</v>
      </c>
      <c r="EC14" s="53">
        <v>1</v>
      </c>
    </row>
    <row r="15" spans="4:126" ht="12.75">
      <c r="D15" s="53" t="s">
        <v>203</v>
      </c>
      <c r="E15" s="53">
        <v>2</v>
      </c>
      <c r="K15" s="53">
        <f t="shared" si="4"/>
        <v>0</v>
      </c>
      <c r="R15" s="53">
        <f t="shared" si="5"/>
        <v>0</v>
      </c>
      <c r="W15" s="53">
        <v>1</v>
      </c>
      <c r="Y15" s="53">
        <f t="shared" si="0"/>
        <v>1</v>
      </c>
      <c r="AF15" s="53">
        <f t="shared" si="6"/>
        <v>0</v>
      </c>
      <c r="AH15" s="71">
        <f t="shared" si="1"/>
        <v>0.007797270955165692</v>
      </c>
      <c r="AI15" s="66"/>
      <c r="AJ15" s="66"/>
      <c r="AQ15" s="53">
        <f t="shared" si="7"/>
        <v>0</v>
      </c>
      <c r="AX15" s="53">
        <f t="shared" si="8"/>
        <v>0</v>
      </c>
      <c r="BG15" s="53">
        <f t="shared" si="9"/>
        <v>0</v>
      </c>
      <c r="BS15" s="53">
        <f t="shared" si="10"/>
        <v>0</v>
      </c>
      <c r="BZ15" s="53">
        <f t="shared" si="11"/>
        <v>0</v>
      </c>
      <c r="CB15" s="71">
        <f t="shared" si="2"/>
        <v>0</v>
      </c>
      <c r="CI15" s="53">
        <f t="shared" si="12"/>
        <v>0</v>
      </c>
      <c r="CK15" s="66">
        <f t="shared" si="3"/>
        <v>0</v>
      </c>
      <c r="CL15" s="66"/>
      <c r="CM15" s="66"/>
      <c r="DV15" s="66"/>
    </row>
    <row r="16" spans="3:135" ht="12.75">
      <c r="C16" s="53" t="s">
        <v>11</v>
      </c>
      <c r="D16" s="53" t="s">
        <v>518</v>
      </c>
      <c r="E16" s="53">
        <v>1</v>
      </c>
      <c r="F16" s="53">
        <v>19</v>
      </c>
      <c r="G16" s="53">
        <v>2</v>
      </c>
      <c r="H16" s="53">
        <v>15</v>
      </c>
      <c r="I16" s="53">
        <v>11</v>
      </c>
      <c r="J16" s="53">
        <v>27</v>
      </c>
      <c r="K16" s="53">
        <f t="shared" si="4"/>
        <v>74</v>
      </c>
      <c r="M16" s="53">
        <v>73</v>
      </c>
      <c r="N16" s="53">
        <v>27</v>
      </c>
      <c r="O16" s="53">
        <v>96</v>
      </c>
      <c r="P16" s="53">
        <v>87</v>
      </c>
      <c r="Q16" s="53">
        <v>92</v>
      </c>
      <c r="R16" s="53">
        <f t="shared" si="5"/>
        <v>375</v>
      </c>
      <c r="T16" s="53">
        <v>25</v>
      </c>
      <c r="U16" s="53">
        <v>25</v>
      </c>
      <c r="V16" s="53">
        <v>72</v>
      </c>
      <c r="W16" s="53">
        <v>47</v>
      </c>
      <c r="X16" s="53">
        <v>183</v>
      </c>
      <c r="Y16" s="53">
        <f t="shared" si="0"/>
        <v>352</v>
      </c>
      <c r="AA16" s="53">
        <v>135</v>
      </c>
      <c r="AB16" s="53">
        <v>37</v>
      </c>
      <c r="AC16" s="53">
        <v>45</v>
      </c>
      <c r="AD16" s="53">
        <v>53</v>
      </c>
      <c r="AE16" s="53">
        <v>55</v>
      </c>
      <c r="AF16" s="53">
        <f t="shared" si="6"/>
        <v>325</v>
      </c>
      <c r="AH16" s="71">
        <f t="shared" si="1"/>
        <v>8.77972709551657</v>
      </c>
      <c r="AI16" s="66"/>
      <c r="AJ16" s="66"/>
      <c r="AL16" s="53">
        <v>175</v>
      </c>
      <c r="AM16" s="53">
        <v>120</v>
      </c>
      <c r="AN16" s="53">
        <v>96</v>
      </c>
      <c r="AO16" s="53">
        <v>32</v>
      </c>
      <c r="AP16" s="53">
        <v>21</v>
      </c>
      <c r="AQ16" s="53">
        <f t="shared" si="7"/>
        <v>444</v>
      </c>
      <c r="AS16" s="53">
        <v>67</v>
      </c>
      <c r="AT16" s="53">
        <v>15</v>
      </c>
      <c r="AU16" s="53">
        <v>60</v>
      </c>
      <c r="AV16" s="53">
        <v>43</v>
      </c>
      <c r="AW16" s="53">
        <v>43</v>
      </c>
      <c r="AX16" s="53">
        <f t="shared" si="8"/>
        <v>228</v>
      </c>
      <c r="BB16" s="53">
        <v>9</v>
      </c>
      <c r="BC16" s="53">
        <v>77</v>
      </c>
      <c r="BD16" s="53">
        <v>30</v>
      </c>
      <c r="BE16" s="53">
        <v>39</v>
      </c>
      <c r="BF16" s="53">
        <v>34</v>
      </c>
      <c r="BG16" s="53">
        <f t="shared" si="9"/>
        <v>189</v>
      </c>
      <c r="BN16" s="53">
        <v>278</v>
      </c>
      <c r="BO16" s="53">
        <v>121</v>
      </c>
      <c r="BP16" s="53">
        <v>157</v>
      </c>
      <c r="BQ16" s="53">
        <v>88</v>
      </c>
      <c r="BR16" s="53">
        <v>79</v>
      </c>
      <c r="BS16" s="53">
        <f t="shared" si="10"/>
        <v>723</v>
      </c>
      <c r="BU16" s="53">
        <v>169</v>
      </c>
      <c r="BV16" s="53">
        <v>92</v>
      </c>
      <c r="BW16" s="53">
        <v>80</v>
      </c>
      <c r="BX16" s="53">
        <v>67</v>
      </c>
      <c r="BY16" s="53">
        <v>137</v>
      </c>
      <c r="BZ16" s="53">
        <f t="shared" si="11"/>
        <v>545</v>
      </c>
      <c r="CB16" s="71">
        <f t="shared" si="2"/>
        <v>18.033091652723556</v>
      </c>
      <c r="CD16" s="53">
        <v>154</v>
      </c>
      <c r="CE16" s="53">
        <v>51</v>
      </c>
      <c r="CF16" s="53">
        <v>87</v>
      </c>
      <c r="CG16" s="53">
        <v>24</v>
      </c>
      <c r="CH16" s="53">
        <v>11</v>
      </c>
      <c r="CI16" s="53">
        <f>SUM(CD16:CH16)</f>
        <v>327</v>
      </c>
      <c r="CK16" s="66">
        <f t="shared" si="3"/>
        <v>8.855328642526171</v>
      </c>
      <c r="CL16" s="66"/>
      <c r="CM16" s="66"/>
      <c r="CP16" s="53">
        <v>14</v>
      </c>
      <c r="CQ16" s="53">
        <v>78</v>
      </c>
      <c r="CR16" s="53">
        <v>43</v>
      </c>
      <c r="CS16" s="53">
        <v>95</v>
      </c>
      <c r="CT16" s="53">
        <v>87</v>
      </c>
      <c r="CY16" s="53">
        <v>311</v>
      </c>
      <c r="CZ16" s="53">
        <v>28</v>
      </c>
      <c r="DA16" s="53">
        <v>54</v>
      </c>
      <c r="DB16" s="53">
        <v>80</v>
      </c>
      <c r="DC16" s="53">
        <v>123</v>
      </c>
      <c r="DH16" s="53">
        <v>21</v>
      </c>
      <c r="DI16" s="53">
        <v>29</v>
      </c>
      <c r="DJ16" s="53">
        <v>23</v>
      </c>
      <c r="DK16" s="53">
        <v>25</v>
      </c>
      <c r="DL16" s="53">
        <v>11</v>
      </c>
      <c r="DQ16" s="53">
        <v>4</v>
      </c>
      <c r="DR16" s="53">
        <v>3</v>
      </c>
      <c r="DT16" s="53">
        <v>11</v>
      </c>
      <c r="DU16" s="53">
        <v>26</v>
      </c>
      <c r="DV16" s="66"/>
      <c r="EA16" s="53">
        <v>19</v>
      </c>
      <c r="EB16" s="53">
        <v>23</v>
      </c>
      <c r="EC16" s="53">
        <v>18</v>
      </c>
      <c r="ED16" s="53">
        <v>5</v>
      </c>
      <c r="EE16" s="53">
        <v>62</v>
      </c>
    </row>
    <row r="17" spans="4:126" ht="12.75">
      <c r="D17" s="53" t="s">
        <v>112</v>
      </c>
      <c r="E17" s="53">
        <v>0</v>
      </c>
      <c r="H17" s="53">
        <v>2</v>
      </c>
      <c r="I17" s="53">
        <v>1</v>
      </c>
      <c r="K17" s="53">
        <f t="shared" si="4"/>
        <v>3</v>
      </c>
      <c r="R17" s="53">
        <f t="shared" si="5"/>
        <v>0</v>
      </c>
      <c r="Y17" s="53">
        <f t="shared" si="0"/>
        <v>0</v>
      </c>
      <c r="AF17" s="53">
        <f t="shared" si="6"/>
        <v>0</v>
      </c>
      <c r="AH17" s="71">
        <f t="shared" si="1"/>
        <v>0.023391812865497075</v>
      </c>
      <c r="AI17" s="66"/>
      <c r="AJ17" s="66"/>
      <c r="AQ17" s="53">
        <f t="shared" si="7"/>
        <v>0</v>
      </c>
      <c r="AX17" s="53">
        <f t="shared" si="8"/>
        <v>0</v>
      </c>
      <c r="BG17" s="53">
        <f t="shared" si="9"/>
        <v>0</v>
      </c>
      <c r="BS17" s="53">
        <f t="shared" si="10"/>
        <v>0</v>
      </c>
      <c r="BU17" s="53">
        <v>1</v>
      </c>
      <c r="BZ17" s="53">
        <f t="shared" si="11"/>
        <v>1</v>
      </c>
      <c r="CB17" s="71">
        <f t="shared" si="2"/>
        <v>0.009295408068414203</v>
      </c>
      <c r="CI17" s="53">
        <f t="shared" si="12"/>
        <v>0</v>
      </c>
      <c r="CK17" s="66">
        <f t="shared" si="3"/>
        <v>0</v>
      </c>
      <c r="CL17" s="66"/>
      <c r="CM17" s="66"/>
      <c r="DV17" s="66"/>
    </row>
    <row r="18" spans="4:126" ht="12.75">
      <c r="D18" s="53" t="s">
        <v>13</v>
      </c>
      <c r="E18" s="53">
        <v>0</v>
      </c>
      <c r="F18" s="53">
        <v>4</v>
      </c>
      <c r="H18" s="53">
        <v>4</v>
      </c>
      <c r="I18" s="53">
        <v>4</v>
      </c>
      <c r="J18" s="53">
        <v>5</v>
      </c>
      <c r="K18" s="53">
        <f t="shared" si="4"/>
        <v>17</v>
      </c>
      <c r="M18" s="53">
        <v>4</v>
      </c>
      <c r="N18" s="53">
        <v>3</v>
      </c>
      <c r="O18" s="53">
        <v>2</v>
      </c>
      <c r="P18" s="53">
        <v>2</v>
      </c>
      <c r="Q18" s="53">
        <v>8</v>
      </c>
      <c r="R18" s="53">
        <f t="shared" si="5"/>
        <v>19</v>
      </c>
      <c r="T18" s="53">
        <v>1</v>
      </c>
      <c r="U18" s="53">
        <v>3</v>
      </c>
      <c r="V18" s="53">
        <v>1</v>
      </c>
      <c r="W18" s="53">
        <v>3</v>
      </c>
      <c r="X18" s="53">
        <v>1</v>
      </c>
      <c r="Y18" s="53">
        <f t="shared" si="0"/>
        <v>9</v>
      </c>
      <c r="AA18" s="53">
        <v>4</v>
      </c>
      <c r="AB18" s="53">
        <v>5</v>
      </c>
      <c r="AC18" s="53">
        <v>3</v>
      </c>
      <c r="AE18" s="53">
        <v>1</v>
      </c>
      <c r="AF18" s="53">
        <f t="shared" si="6"/>
        <v>13</v>
      </c>
      <c r="AH18" s="71">
        <f t="shared" si="1"/>
        <v>0.4522417153996101</v>
      </c>
      <c r="AI18" s="66"/>
      <c r="AJ18" s="66"/>
      <c r="AL18" s="53">
        <v>8</v>
      </c>
      <c r="AM18" s="53">
        <v>10</v>
      </c>
      <c r="AN18" s="53">
        <v>8</v>
      </c>
      <c r="AO18" s="53">
        <v>4</v>
      </c>
      <c r="AP18" s="53">
        <v>3</v>
      </c>
      <c r="AQ18" s="53">
        <f t="shared" si="7"/>
        <v>33</v>
      </c>
      <c r="AS18" s="53">
        <v>4</v>
      </c>
      <c r="AT18" s="53">
        <v>4</v>
      </c>
      <c r="AU18" s="53">
        <v>4</v>
      </c>
      <c r="AV18" s="53">
        <v>1</v>
      </c>
      <c r="AW18" s="53">
        <v>2</v>
      </c>
      <c r="AX18" s="53">
        <f t="shared" si="8"/>
        <v>15</v>
      </c>
      <c r="BB18" s="53">
        <v>2</v>
      </c>
      <c r="BC18" s="53">
        <v>1</v>
      </c>
      <c r="BD18" s="53">
        <v>2</v>
      </c>
      <c r="BE18" s="53">
        <v>2</v>
      </c>
      <c r="BF18" s="53">
        <v>3</v>
      </c>
      <c r="BG18" s="53">
        <f t="shared" si="9"/>
        <v>10</v>
      </c>
      <c r="BN18" s="53">
        <v>1</v>
      </c>
      <c r="BP18" s="53">
        <v>1</v>
      </c>
      <c r="BQ18" s="53">
        <v>1</v>
      </c>
      <c r="BR18" s="53">
        <v>1</v>
      </c>
      <c r="BS18" s="53">
        <f t="shared" si="10"/>
        <v>4</v>
      </c>
      <c r="BW18" s="53">
        <v>1</v>
      </c>
      <c r="BX18" s="53">
        <v>1</v>
      </c>
      <c r="BY18" s="53">
        <v>1</v>
      </c>
      <c r="BZ18" s="53">
        <f t="shared" si="11"/>
        <v>3</v>
      </c>
      <c r="CB18" s="71">
        <f t="shared" si="2"/>
        <v>0.5112474437627812</v>
      </c>
      <c r="CD18" s="53">
        <v>1</v>
      </c>
      <c r="CE18" s="53">
        <v>1</v>
      </c>
      <c r="CF18" s="53">
        <v>1</v>
      </c>
      <c r="CI18" s="53">
        <f t="shared" si="12"/>
        <v>3</v>
      </c>
      <c r="CK18" s="66">
        <f t="shared" si="3"/>
        <v>0.22309936502488417</v>
      </c>
      <c r="CL18" s="66"/>
      <c r="CM18" s="66"/>
      <c r="CS18" s="53">
        <v>1</v>
      </c>
      <c r="DA18" s="53">
        <v>1</v>
      </c>
      <c r="DB18" s="53">
        <v>1</v>
      </c>
      <c r="DC18" s="53">
        <v>1</v>
      </c>
      <c r="DI18" s="53">
        <v>1</v>
      </c>
      <c r="DL18" s="53">
        <v>2</v>
      </c>
      <c r="DR18" s="53">
        <v>1</v>
      </c>
      <c r="DV18" s="66"/>
    </row>
    <row r="19" spans="4:126" ht="12.75">
      <c r="D19" s="53" t="s">
        <v>127</v>
      </c>
      <c r="E19" s="53">
        <v>1</v>
      </c>
      <c r="I19" s="53">
        <v>1</v>
      </c>
      <c r="K19" s="53">
        <f t="shared" si="4"/>
        <v>1</v>
      </c>
      <c r="R19" s="53">
        <f t="shared" si="5"/>
        <v>0</v>
      </c>
      <c r="Y19" s="53">
        <f t="shared" si="0"/>
        <v>0</v>
      </c>
      <c r="AB19" s="53">
        <v>1</v>
      </c>
      <c r="AC19" s="53">
        <v>1</v>
      </c>
      <c r="AF19" s="53">
        <f t="shared" si="6"/>
        <v>2</v>
      </c>
      <c r="AH19" s="71">
        <f t="shared" si="1"/>
        <v>0.023391812865497075</v>
      </c>
      <c r="AI19" s="66"/>
      <c r="AJ19" s="66"/>
      <c r="AQ19" s="53">
        <f t="shared" si="7"/>
        <v>0</v>
      </c>
      <c r="AX19" s="53">
        <f t="shared" si="8"/>
        <v>0</v>
      </c>
      <c r="BG19" s="53">
        <f t="shared" si="9"/>
        <v>0</v>
      </c>
      <c r="BS19" s="53">
        <f t="shared" si="10"/>
        <v>0</v>
      </c>
      <c r="BZ19" s="53">
        <f t="shared" si="11"/>
        <v>0</v>
      </c>
      <c r="CB19" s="71">
        <f t="shared" si="2"/>
        <v>0</v>
      </c>
      <c r="CI19" s="53">
        <f t="shared" si="12"/>
        <v>0</v>
      </c>
      <c r="CK19" s="66">
        <f t="shared" si="3"/>
        <v>0</v>
      </c>
      <c r="CL19" s="66"/>
      <c r="CM19" s="66"/>
      <c r="DV19" s="66"/>
    </row>
    <row r="20" spans="4:126" ht="12.75">
      <c r="D20" s="53" t="s">
        <v>14</v>
      </c>
      <c r="E20" s="53">
        <v>3</v>
      </c>
      <c r="F20" s="53">
        <v>5</v>
      </c>
      <c r="H20" s="53">
        <v>3</v>
      </c>
      <c r="I20" s="53">
        <v>14</v>
      </c>
      <c r="J20" s="53">
        <v>5</v>
      </c>
      <c r="K20" s="53">
        <f t="shared" si="4"/>
        <v>27</v>
      </c>
      <c r="M20" s="53">
        <v>19</v>
      </c>
      <c r="N20" s="53">
        <v>12</v>
      </c>
      <c r="O20" s="53">
        <v>11</v>
      </c>
      <c r="P20" s="53">
        <v>3</v>
      </c>
      <c r="Q20" s="53">
        <v>27</v>
      </c>
      <c r="R20" s="53">
        <f t="shared" si="5"/>
        <v>72</v>
      </c>
      <c r="T20" s="53">
        <v>1</v>
      </c>
      <c r="U20" s="53">
        <v>3</v>
      </c>
      <c r="V20" s="53">
        <v>2</v>
      </c>
      <c r="W20" s="53">
        <v>1</v>
      </c>
      <c r="X20" s="53">
        <v>13</v>
      </c>
      <c r="Y20" s="53">
        <f t="shared" si="0"/>
        <v>20</v>
      </c>
      <c r="AA20" s="53">
        <v>7</v>
      </c>
      <c r="AB20" s="53">
        <v>2</v>
      </c>
      <c r="AC20" s="53">
        <v>7</v>
      </c>
      <c r="AD20" s="53">
        <v>2</v>
      </c>
      <c r="AE20" s="53">
        <v>2</v>
      </c>
      <c r="AF20" s="53">
        <f t="shared" si="6"/>
        <v>20</v>
      </c>
      <c r="AH20" s="71">
        <f t="shared" si="1"/>
        <v>1.0838206627680311</v>
      </c>
      <c r="AI20" s="66"/>
      <c r="AJ20" s="66"/>
      <c r="AL20" s="53">
        <v>7</v>
      </c>
      <c r="AM20" s="53">
        <v>5</v>
      </c>
      <c r="AN20" s="53">
        <v>2</v>
      </c>
      <c r="AO20" s="53">
        <v>2</v>
      </c>
      <c r="AP20" s="53">
        <v>1</v>
      </c>
      <c r="AQ20" s="53">
        <f t="shared" si="7"/>
        <v>17</v>
      </c>
      <c r="AS20" s="53">
        <v>4</v>
      </c>
      <c r="AV20" s="53">
        <v>1</v>
      </c>
      <c r="AX20" s="53">
        <f t="shared" si="8"/>
        <v>5</v>
      </c>
      <c r="BB20" s="53">
        <v>2</v>
      </c>
      <c r="BC20" s="53">
        <v>2</v>
      </c>
      <c r="BD20" s="53">
        <v>2</v>
      </c>
      <c r="BE20" s="53">
        <v>2</v>
      </c>
      <c r="BF20" s="53">
        <v>8</v>
      </c>
      <c r="BG20" s="53">
        <f t="shared" si="9"/>
        <v>16</v>
      </c>
      <c r="BN20" s="53">
        <v>2</v>
      </c>
      <c r="BO20" s="53">
        <v>2</v>
      </c>
      <c r="BP20" s="53">
        <v>1</v>
      </c>
      <c r="BQ20" s="53">
        <v>4</v>
      </c>
      <c r="BS20" s="53">
        <f t="shared" si="10"/>
        <v>9</v>
      </c>
      <c r="BU20" s="53">
        <v>9</v>
      </c>
      <c r="BV20" s="53">
        <v>1</v>
      </c>
      <c r="BX20" s="53">
        <v>2</v>
      </c>
      <c r="BY20" s="53">
        <v>3</v>
      </c>
      <c r="BZ20" s="53">
        <f t="shared" si="11"/>
        <v>15</v>
      </c>
      <c r="CB20" s="71">
        <f t="shared" si="2"/>
        <v>0.42758877114705335</v>
      </c>
      <c r="CD20" s="53">
        <v>8</v>
      </c>
      <c r="CF20" s="53">
        <v>2</v>
      </c>
      <c r="CI20" s="53">
        <f t="shared" si="12"/>
        <v>10</v>
      </c>
      <c r="CK20" s="66">
        <f t="shared" si="3"/>
        <v>0.44619873004976834</v>
      </c>
      <c r="CL20" s="66"/>
      <c r="CM20" s="66"/>
      <c r="CY20" s="53">
        <v>2</v>
      </c>
      <c r="DA20" s="53">
        <v>2</v>
      </c>
      <c r="DC20" s="53">
        <v>2</v>
      </c>
      <c r="DH20" s="53">
        <v>4</v>
      </c>
      <c r="DI20" s="53">
        <v>1</v>
      </c>
      <c r="DJ20" s="53">
        <v>1</v>
      </c>
      <c r="DK20" s="53">
        <v>2</v>
      </c>
      <c r="DL20" s="53">
        <v>12</v>
      </c>
      <c r="DV20" s="66"/>
    </row>
    <row r="21" spans="3:126" ht="12.75">
      <c r="C21" s="53" t="s">
        <v>444</v>
      </c>
      <c r="D21" s="53" t="s">
        <v>445</v>
      </c>
      <c r="E21" s="53">
        <v>4</v>
      </c>
      <c r="K21" s="53">
        <f t="shared" si="4"/>
        <v>0</v>
      </c>
      <c r="R21" s="53">
        <f t="shared" si="5"/>
        <v>0</v>
      </c>
      <c r="Y21" s="53">
        <f t="shared" si="0"/>
        <v>0</v>
      </c>
      <c r="AF21" s="53">
        <f t="shared" si="6"/>
        <v>0</v>
      </c>
      <c r="AH21" s="71">
        <f t="shared" si="1"/>
        <v>0</v>
      </c>
      <c r="AI21" s="66"/>
      <c r="AJ21" s="66"/>
      <c r="CB21" s="71"/>
      <c r="CK21" s="66"/>
      <c r="CL21" s="66"/>
      <c r="CM21" s="66"/>
      <c r="DS21" s="53">
        <v>1</v>
      </c>
      <c r="DV21" s="66"/>
    </row>
    <row r="22" spans="3:135" ht="12.75">
      <c r="C22" s="53" t="s">
        <v>191</v>
      </c>
      <c r="D22" s="53" t="s">
        <v>192</v>
      </c>
      <c r="E22" s="53">
        <v>1</v>
      </c>
      <c r="K22" s="53">
        <f t="shared" si="4"/>
        <v>0</v>
      </c>
      <c r="R22" s="53">
        <f t="shared" si="5"/>
        <v>0</v>
      </c>
      <c r="V22" s="53">
        <v>4</v>
      </c>
      <c r="W22" s="53">
        <v>2</v>
      </c>
      <c r="X22" s="53">
        <v>1</v>
      </c>
      <c r="Y22" s="53">
        <f t="shared" si="0"/>
        <v>7</v>
      </c>
      <c r="AC22" s="53">
        <v>2</v>
      </c>
      <c r="AE22" s="53">
        <v>10</v>
      </c>
      <c r="AF22" s="53">
        <f t="shared" si="6"/>
        <v>12</v>
      </c>
      <c r="AH22" s="71">
        <f t="shared" si="1"/>
        <v>0.14814814814814814</v>
      </c>
      <c r="AI22" s="66"/>
      <c r="AJ22" s="66"/>
      <c r="AL22" s="53">
        <v>30</v>
      </c>
      <c r="AM22" s="53">
        <v>28</v>
      </c>
      <c r="AN22" s="53">
        <v>18</v>
      </c>
      <c r="AO22" s="53">
        <v>16</v>
      </c>
      <c r="AP22" s="53">
        <v>7</v>
      </c>
      <c r="AQ22" s="53">
        <f t="shared" si="7"/>
        <v>99</v>
      </c>
      <c r="AS22" s="53">
        <v>60</v>
      </c>
      <c r="AT22" s="53">
        <v>52</v>
      </c>
      <c r="AU22" s="53">
        <v>121</v>
      </c>
      <c r="AV22" s="53">
        <v>1</v>
      </c>
      <c r="AW22" s="53">
        <v>42</v>
      </c>
      <c r="AX22" s="53">
        <f t="shared" si="8"/>
        <v>276</v>
      </c>
      <c r="BB22" s="53">
        <v>4</v>
      </c>
      <c r="BC22" s="53">
        <v>11</v>
      </c>
      <c r="BD22" s="53">
        <v>41</v>
      </c>
      <c r="BE22" s="53">
        <v>18</v>
      </c>
      <c r="BF22" s="53">
        <v>19</v>
      </c>
      <c r="BG22" s="53">
        <f t="shared" si="9"/>
        <v>93</v>
      </c>
      <c r="BN22" s="53">
        <v>24</v>
      </c>
      <c r="BO22" s="53">
        <v>5</v>
      </c>
      <c r="BP22" s="53">
        <v>8</v>
      </c>
      <c r="BQ22" s="53">
        <v>2</v>
      </c>
      <c r="BR22" s="53">
        <v>12</v>
      </c>
      <c r="BS22" s="53">
        <f t="shared" si="10"/>
        <v>51</v>
      </c>
      <c r="BU22" s="53">
        <v>17</v>
      </c>
      <c r="BV22" s="53">
        <v>9</v>
      </c>
      <c r="BW22" s="53">
        <v>23</v>
      </c>
      <c r="BX22" s="53">
        <v>4</v>
      </c>
      <c r="BY22" s="53">
        <v>20</v>
      </c>
      <c r="BZ22" s="53">
        <f t="shared" si="11"/>
        <v>73</v>
      </c>
      <c r="CB22" s="71">
        <f aca="true" t="shared" si="13" ref="CB22:CB38">100*SUM($AL22:$AP22,$AS22:$AW22,$BN22:$BR22,$BU22:$BY22)/SUM($AQ$169,$AX$169,$BS$169,$BZ$169)</f>
        <v>4.638408626138688</v>
      </c>
      <c r="CD22" s="53">
        <v>14</v>
      </c>
      <c r="CF22" s="53">
        <v>3</v>
      </c>
      <c r="CG22" s="53">
        <v>6</v>
      </c>
      <c r="CH22" s="53">
        <v>10</v>
      </c>
      <c r="CI22" s="53">
        <f t="shared" si="12"/>
        <v>33</v>
      </c>
      <c r="CK22" s="66">
        <f aca="true" t="shared" si="14" ref="CK22:CK38">100*(BG22+CI22)/($BG$169+$CI$169)</f>
        <v>2.1623476917796465</v>
      </c>
      <c r="CL22" s="66"/>
      <c r="CM22" s="66"/>
      <c r="CP22" s="53">
        <v>11</v>
      </c>
      <c r="CQ22" s="53">
        <v>17</v>
      </c>
      <c r="CR22" s="53">
        <v>29</v>
      </c>
      <c r="CS22" s="53">
        <v>15</v>
      </c>
      <c r="CT22" s="53">
        <v>36</v>
      </c>
      <c r="CY22" s="53">
        <v>35</v>
      </c>
      <c r="CZ22" s="53">
        <v>42</v>
      </c>
      <c r="DA22" s="53">
        <v>8</v>
      </c>
      <c r="DB22" s="53">
        <v>40</v>
      </c>
      <c r="DC22" s="53">
        <v>5</v>
      </c>
      <c r="DI22" s="53">
        <v>12</v>
      </c>
      <c r="DJ22" s="53">
        <v>16</v>
      </c>
      <c r="DK22" s="53">
        <v>44</v>
      </c>
      <c r="DL22" s="53">
        <v>5</v>
      </c>
      <c r="DQ22" s="53">
        <v>11</v>
      </c>
      <c r="DR22" s="53">
        <v>8</v>
      </c>
      <c r="DS22" s="53">
        <v>5</v>
      </c>
      <c r="DT22" s="53">
        <v>6</v>
      </c>
      <c r="DU22" s="53">
        <v>15</v>
      </c>
      <c r="DV22" s="66"/>
      <c r="EA22" s="53">
        <v>19</v>
      </c>
      <c r="EB22" s="53">
        <v>2</v>
      </c>
      <c r="EC22" s="53">
        <v>22</v>
      </c>
      <c r="ED22" s="53">
        <v>4</v>
      </c>
      <c r="EE22" s="53">
        <v>13</v>
      </c>
    </row>
    <row r="23" spans="3:135" ht="12.75">
      <c r="C23" s="53" t="s">
        <v>93</v>
      </c>
      <c r="D23" s="53" t="s">
        <v>94</v>
      </c>
      <c r="E23" s="53">
        <v>4</v>
      </c>
      <c r="F23" s="53">
        <v>4</v>
      </c>
      <c r="H23" s="53">
        <v>13</v>
      </c>
      <c r="J23" s="53">
        <v>3</v>
      </c>
      <c r="K23" s="53">
        <f t="shared" si="4"/>
        <v>20</v>
      </c>
      <c r="M23" s="53">
        <v>4</v>
      </c>
      <c r="N23" s="53">
        <v>2</v>
      </c>
      <c r="P23" s="53">
        <v>1</v>
      </c>
      <c r="Q23" s="53">
        <v>1</v>
      </c>
      <c r="R23" s="53">
        <f t="shared" si="5"/>
        <v>8</v>
      </c>
      <c r="X23" s="53">
        <v>4</v>
      </c>
      <c r="Y23" s="53">
        <f t="shared" si="0"/>
        <v>4</v>
      </c>
      <c r="AA23" s="53">
        <v>4</v>
      </c>
      <c r="AF23" s="53">
        <f t="shared" si="6"/>
        <v>4</v>
      </c>
      <c r="AH23" s="71">
        <f t="shared" si="1"/>
        <v>0.2807017543859649</v>
      </c>
      <c r="AI23" s="66"/>
      <c r="AJ23" s="66"/>
      <c r="AL23" s="53">
        <v>46</v>
      </c>
      <c r="AM23" s="53">
        <v>38</v>
      </c>
      <c r="AN23" s="53">
        <v>86</v>
      </c>
      <c r="AO23" s="53">
        <v>42</v>
      </c>
      <c r="AP23" s="53">
        <v>10</v>
      </c>
      <c r="AQ23" s="53">
        <f t="shared" si="7"/>
        <v>222</v>
      </c>
      <c r="AS23" s="53">
        <v>16</v>
      </c>
      <c r="AT23" s="53">
        <v>24</v>
      </c>
      <c r="AU23" s="53">
        <v>33</v>
      </c>
      <c r="AV23" s="53">
        <v>1</v>
      </c>
      <c r="AW23" s="53">
        <v>18</v>
      </c>
      <c r="AX23" s="53">
        <f t="shared" si="8"/>
        <v>92</v>
      </c>
      <c r="BB23" s="53">
        <v>22</v>
      </c>
      <c r="BC23" s="53">
        <v>39</v>
      </c>
      <c r="BD23" s="53">
        <v>195</v>
      </c>
      <c r="BE23" s="53">
        <v>72</v>
      </c>
      <c r="BF23" s="53">
        <v>80</v>
      </c>
      <c r="BG23" s="53">
        <f t="shared" si="9"/>
        <v>408</v>
      </c>
      <c r="BN23" s="53">
        <v>88</v>
      </c>
      <c r="BO23" s="53">
        <v>60</v>
      </c>
      <c r="BP23" s="53">
        <v>57</v>
      </c>
      <c r="BQ23" s="53">
        <v>26</v>
      </c>
      <c r="BR23" s="53">
        <v>17</v>
      </c>
      <c r="BS23" s="53">
        <f t="shared" si="10"/>
        <v>248</v>
      </c>
      <c r="BU23" s="53">
        <v>56</v>
      </c>
      <c r="BV23" s="53">
        <v>16</v>
      </c>
      <c r="BW23" s="53">
        <v>10</v>
      </c>
      <c r="BX23" s="53">
        <v>11</v>
      </c>
      <c r="BY23" s="53">
        <v>62</v>
      </c>
      <c r="BZ23" s="53">
        <f t="shared" si="11"/>
        <v>155</v>
      </c>
      <c r="CB23" s="71">
        <f t="shared" si="13"/>
        <v>6.6648075850529835</v>
      </c>
      <c r="CD23" s="53">
        <v>26</v>
      </c>
      <c r="CE23" s="53">
        <v>12</v>
      </c>
      <c r="CF23" s="53">
        <v>10</v>
      </c>
      <c r="CG23" s="53">
        <v>5</v>
      </c>
      <c r="CH23" s="53">
        <v>2</v>
      </c>
      <c r="CI23" s="53">
        <f t="shared" si="12"/>
        <v>55</v>
      </c>
      <c r="CK23" s="66">
        <f t="shared" si="14"/>
        <v>7.9457696928093355</v>
      </c>
      <c r="CL23" s="66"/>
      <c r="CM23" s="66"/>
      <c r="CP23" s="53">
        <v>3</v>
      </c>
      <c r="CQ23" s="53">
        <v>9</v>
      </c>
      <c r="CR23" s="53">
        <v>17</v>
      </c>
      <c r="CS23" s="53">
        <v>19</v>
      </c>
      <c r="CT23" s="53">
        <v>59</v>
      </c>
      <c r="CY23" s="53">
        <v>95</v>
      </c>
      <c r="CZ23" s="53">
        <v>19</v>
      </c>
      <c r="DA23" s="53">
        <v>10</v>
      </c>
      <c r="DB23" s="53">
        <v>49</v>
      </c>
      <c r="DC23" s="53">
        <v>5</v>
      </c>
      <c r="DH23" s="53">
        <v>4</v>
      </c>
      <c r="DI23" s="53">
        <v>62</v>
      </c>
      <c r="DJ23" s="53">
        <v>13</v>
      </c>
      <c r="DK23" s="53">
        <v>86</v>
      </c>
      <c r="DL23" s="53">
        <v>13</v>
      </c>
      <c r="DR23" s="53">
        <v>3</v>
      </c>
      <c r="DS23" s="53">
        <v>7</v>
      </c>
      <c r="DT23" s="53">
        <v>18</v>
      </c>
      <c r="DU23" s="53">
        <v>53</v>
      </c>
      <c r="DV23" s="66"/>
      <c r="EA23" s="53">
        <v>5</v>
      </c>
      <c r="EB23" s="53">
        <v>15</v>
      </c>
      <c r="EC23" s="53">
        <v>15</v>
      </c>
      <c r="ED23" s="53">
        <v>15</v>
      </c>
      <c r="EE23" s="53">
        <v>52</v>
      </c>
    </row>
    <row r="24" spans="4:126" ht="12.75">
      <c r="D24" s="53" t="s">
        <v>375</v>
      </c>
      <c r="E24" s="53">
        <v>2</v>
      </c>
      <c r="K24" s="53">
        <f t="shared" si="4"/>
        <v>0</v>
      </c>
      <c r="R24" s="53">
        <f t="shared" si="5"/>
        <v>0</v>
      </c>
      <c r="Y24" s="53">
        <f t="shared" si="0"/>
        <v>0</v>
      </c>
      <c r="AF24" s="53">
        <f t="shared" si="6"/>
        <v>0</v>
      </c>
      <c r="AH24" s="71">
        <f t="shared" si="1"/>
        <v>0</v>
      </c>
      <c r="AI24" s="66"/>
      <c r="AJ24" s="66"/>
      <c r="AQ24" s="53">
        <f t="shared" si="7"/>
        <v>0</v>
      </c>
      <c r="AX24" s="53">
        <f t="shared" si="8"/>
        <v>0</v>
      </c>
      <c r="BG24" s="53">
        <f t="shared" si="9"/>
        <v>0</v>
      </c>
      <c r="BN24" s="53">
        <v>2</v>
      </c>
      <c r="BS24" s="53">
        <f t="shared" si="10"/>
        <v>2</v>
      </c>
      <c r="BZ24" s="53">
        <f t="shared" si="11"/>
        <v>0</v>
      </c>
      <c r="CB24" s="71">
        <f t="shared" si="13"/>
        <v>0.018590816136828406</v>
      </c>
      <c r="CI24" s="53">
        <f t="shared" si="12"/>
        <v>0</v>
      </c>
      <c r="CK24" s="66">
        <f t="shared" si="14"/>
        <v>0</v>
      </c>
      <c r="CL24" s="66"/>
      <c r="CM24" s="66"/>
      <c r="DV24" s="66"/>
    </row>
    <row r="25" spans="4:126" ht="12.75">
      <c r="D25" s="53" t="s">
        <v>95</v>
      </c>
      <c r="E25" s="53">
        <v>0</v>
      </c>
      <c r="F25" s="53">
        <v>10</v>
      </c>
      <c r="H25" s="53">
        <v>29</v>
      </c>
      <c r="I25" s="53">
        <v>14</v>
      </c>
      <c r="K25" s="53">
        <f t="shared" si="4"/>
        <v>53</v>
      </c>
      <c r="R25" s="53">
        <f t="shared" si="5"/>
        <v>0</v>
      </c>
      <c r="Y25" s="53">
        <f t="shared" si="0"/>
        <v>0</v>
      </c>
      <c r="AB25" s="53">
        <v>8</v>
      </c>
      <c r="AC25" s="53">
        <v>2</v>
      </c>
      <c r="AE25" s="53">
        <v>3</v>
      </c>
      <c r="AF25" s="53">
        <f t="shared" si="6"/>
        <v>13</v>
      </c>
      <c r="AH25" s="71">
        <f t="shared" si="1"/>
        <v>0.5146198830409356</v>
      </c>
      <c r="AI25" s="66"/>
      <c r="AJ25" s="66"/>
      <c r="AQ25" s="53">
        <f t="shared" si="7"/>
        <v>0</v>
      </c>
      <c r="AS25" s="53">
        <v>1</v>
      </c>
      <c r="AX25" s="53">
        <f t="shared" si="8"/>
        <v>1</v>
      </c>
      <c r="BG25" s="53">
        <f t="shared" si="9"/>
        <v>0</v>
      </c>
      <c r="BS25" s="53">
        <f t="shared" si="10"/>
        <v>0</v>
      </c>
      <c r="BW25" s="53">
        <v>1</v>
      </c>
      <c r="BZ25" s="53">
        <f t="shared" si="11"/>
        <v>1</v>
      </c>
      <c r="CB25" s="71">
        <f t="shared" si="13"/>
        <v>0.018590816136828406</v>
      </c>
      <c r="CI25" s="53">
        <f t="shared" si="12"/>
        <v>0</v>
      </c>
      <c r="CK25" s="66">
        <f t="shared" si="14"/>
        <v>0</v>
      </c>
      <c r="CL25" s="66"/>
      <c r="CM25" s="66"/>
      <c r="DH25" s="53">
        <v>1</v>
      </c>
      <c r="DV25" s="66"/>
    </row>
    <row r="26" spans="4:126" ht="12.75">
      <c r="D26" s="53" t="s">
        <v>303</v>
      </c>
      <c r="E26" s="53">
        <v>0</v>
      </c>
      <c r="K26" s="53">
        <f t="shared" si="4"/>
        <v>0</v>
      </c>
      <c r="R26" s="53">
        <f t="shared" si="5"/>
        <v>0</v>
      </c>
      <c r="Y26" s="53">
        <f t="shared" si="0"/>
        <v>0</v>
      </c>
      <c r="AF26" s="53">
        <f t="shared" si="6"/>
        <v>0</v>
      </c>
      <c r="AH26" s="71">
        <f t="shared" si="1"/>
        <v>0</v>
      </c>
      <c r="AI26" s="66"/>
      <c r="AJ26" s="66"/>
      <c r="AQ26" s="53">
        <f t="shared" si="7"/>
        <v>0</v>
      </c>
      <c r="AU26" s="53">
        <v>1</v>
      </c>
      <c r="AX26" s="53">
        <f t="shared" si="8"/>
        <v>1</v>
      </c>
      <c r="BG26" s="53">
        <f t="shared" si="9"/>
        <v>0</v>
      </c>
      <c r="BS26" s="53">
        <f t="shared" si="10"/>
        <v>0</v>
      </c>
      <c r="BZ26" s="53">
        <f t="shared" si="11"/>
        <v>0</v>
      </c>
      <c r="CB26" s="71">
        <f t="shared" si="13"/>
        <v>0.009295408068414203</v>
      </c>
      <c r="CI26" s="53">
        <f t="shared" si="12"/>
        <v>0</v>
      </c>
      <c r="CK26" s="66">
        <f t="shared" si="14"/>
        <v>0</v>
      </c>
      <c r="CL26" s="66"/>
      <c r="CM26" s="66"/>
      <c r="DV26" s="66"/>
    </row>
    <row r="27" spans="3:126" ht="12.75">
      <c r="C27" s="53" t="s">
        <v>141</v>
      </c>
      <c r="D27" s="53" t="s">
        <v>142</v>
      </c>
      <c r="E27" s="53">
        <v>2</v>
      </c>
      <c r="K27" s="53">
        <f t="shared" si="4"/>
        <v>0</v>
      </c>
      <c r="P27" s="53">
        <v>2</v>
      </c>
      <c r="R27" s="53">
        <f t="shared" si="5"/>
        <v>2</v>
      </c>
      <c r="Y27" s="53">
        <f t="shared" si="0"/>
        <v>0</v>
      </c>
      <c r="AF27" s="53">
        <f t="shared" si="6"/>
        <v>0</v>
      </c>
      <c r="AH27" s="71">
        <f t="shared" si="1"/>
        <v>0.015594541910331383</v>
      </c>
      <c r="AI27" s="66"/>
      <c r="AJ27" s="66"/>
      <c r="AQ27" s="53">
        <f t="shared" si="7"/>
        <v>0</v>
      </c>
      <c r="AX27" s="53">
        <f t="shared" si="8"/>
        <v>0</v>
      </c>
      <c r="BG27" s="53">
        <f t="shared" si="9"/>
        <v>0</v>
      </c>
      <c r="BS27" s="53">
        <f t="shared" si="10"/>
        <v>0</v>
      </c>
      <c r="BZ27" s="53">
        <f t="shared" si="11"/>
        <v>0</v>
      </c>
      <c r="CB27" s="71">
        <f t="shared" si="13"/>
        <v>0</v>
      </c>
      <c r="CI27" s="53">
        <f t="shared" si="12"/>
        <v>0</v>
      </c>
      <c r="CK27" s="66">
        <f t="shared" si="14"/>
        <v>0</v>
      </c>
      <c r="CL27" s="66"/>
      <c r="CM27" s="66"/>
      <c r="DV27" s="66"/>
    </row>
    <row r="28" spans="3:126" ht="12.75">
      <c r="C28" s="53" t="s">
        <v>137</v>
      </c>
      <c r="D28" s="53" t="s">
        <v>18</v>
      </c>
      <c r="E28" s="53">
        <v>0</v>
      </c>
      <c r="G28" s="53">
        <v>1</v>
      </c>
      <c r="K28" s="53">
        <f t="shared" si="4"/>
        <v>1</v>
      </c>
      <c r="M28" s="53">
        <v>1</v>
      </c>
      <c r="O28" s="53">
        <v>4</v>
      </c>
      <c r="Q28" s="53">
        <v>1</v>
      </c>
      <c r="R28" s="53">
        <f t="shared" si="5"/>
        <v>6</v>
      </c>
      <c r="T28" s="53">
        <v>8</v>
      </c>
      <c r="U28" s="53">
        <v>1</v>
      </c>
      <c r="V28" s="53">
        <v>1</v>
      </c>
      <c r="W28" s="53">
        <v>10</v>
      </c>
      <c r="Y28" s="53">
        <f t="shared" si="0"/>
        <v>20</v>
      </c>
      <c r="AD28" s="53">
        <v>8</v>
      </c>
      <c r="AE28" s="53">
        <v>2</v>
      </c>
      <c r="AF28" s="53">
        <f t="shared" si="6"/>
        <v>10</v>
      </c>
      <c r="AH28" s="71">
        <f t="shared" si="1"/>
        <v>0.2884990253411306</v>
      </c>
      <c r="AI28" s="66"/>
      <c r="AJ28" s="66"/>
      <c r="AO28" s="53">
        <v>1</v>
      </c>
      <c r="AQ28" s="53">
        <f t="shared" si="7"/>
        <v>1</v>
      </c>
      <c r="AT28" s="53">
        <v>1</v>
      </c>
      <c r="AU28" s="53">
        <v>2</v>
      </c>
      <c r="AV28" s="53">
        <v>1</v>
      </c>
      <c r="AX28" s="53">
        <f t="shared" si="8"/>
        <v>4</v>
      </c>
      <c r="BE28" s="53">
        <v>6</v>
      </c>
      <c r="BF28" s="53">
        <v>3</v>
      </c>
      <c r="BG28" s="53">
        <f t="shared" si="9"/>
        <v>9</v>
      </c>
      <c r="BP28" s="53">
        <v>1</v>
      </c>
      <c r="BR28" s="53">
        <v>1</v>
      </c>
      <c r="BS28" s="53">
        <f t="shared" si="10"/>
        <v>2</v>
      </c>
      <c r="BW28" s="53">
        <v>3</v>
      </c>
      <c r="BY28" s="53">
        <v>2</v>
      </c>
      <c r="BZ28" s="53">
        <f t="shared" si="11"/>
        <v>5</v>
      </c>
      <c r="CB28" s="71">
        <f t="shared" si="13"/>
        <v>0.11154489682097044</v>
      </c>
      <c r="CD28" s="53">
        <v>1</v>
      </c>
      <c r="CE28" s="53">
        <v>4</v>
      </c>
      <c r="CI28" s="53">
        <f t="shared" si="12"/>
        <v>5</v>
      </c>
      <c r="CK28" s="66">
        <f t="shared" si="14"/>
        <v>0.24026085464218294</v>
      </c>
      <c r="CL28" s="66"/>
      <c r="CM28" s="66"/>
      <c r="CR28" s="53">
        <v>1</v>
      </c>
      <c r="DI28" s="53">
        <v>4</v>
      </c>
      <c r="DJ28" s="53">
        <v>2</v>
      </c>
      <c r="DL28" s="53">
        <v>3</v>
      </c>
      <c r="DS28" s="53">
        <v>1</v>
      </c>
      <c r="DV28" s="66"/>
    </row>
    <row r="29" spans="4:135" ht="12.75">
      <c r="D29" s="53" t="s">
        <v>21</v>
      </c>
      <c r="E29" s="53">
        <v>1</v>
      </c>
      <c r="F29" s="53">
        <v>463</v>
      </c>
      <c r="G29" s="53">
        <v>254</v>
      </c>
      <c r="H29" s="53">
        <v>390</v>
      </c>
      <c r="I29" s="53">
        <v>184</v>
      </c>
      <c r="J29" s="53">
        <v>148</v>
      </c>
      <c r="K29" s="53">
        <f t="shared" si="4"/>
        <v>1439</v>
      </c>
      <c r="M29" s="53">
        <v>316</v>
      </c>
      <c r="N29" s="53">
        <v>164</v>
      </c>
      <c r="O29" s="53">
        <v>180</v>
      </c>
      <c r="P29" s="53">
        <v>143</v>
      </c>
      <c r="Q29" s="53">
        <v>170</v>
      </c>
      <c r="R29" s="53">
        <f t="shared" si="5"/>
        <v>973</v>
      </c>
      <c r="T29" s="53">
        <v>57</v>
      </c>
      <c r="U29" s="53">
        <v>38</v>
      </c>
      <c r="V29" s="53">
        <v>120</v>
      </c>
      <c r="W29" s="53">
        <v>64</v>
      </c>
      <c r="X29" s="53">
        <v>177</v>
      </c>
      <c r="Y29" s="53">
        <f t="shared" si="0"/>
        <v>456</v>
      </c>
      <c r="AA29" s="53">
        <v>165</v>
      </c>
      <c r="AB29" s="53">
        <v>51</v>
      </c>
      <c r="AC29" s="53">
        <v>64</v>
      </c>
      <c r="AD29" s="53">
        <v>208</v>
      </c>
      <c r="AE29" s="53">
        <v>99</v>
      </c>
      <c r="AF29" s="53">
        <f t="shared" si="6"/>
        <v>587</v>
      </c>
      <c r="AH29" s="71">
        <f t="shared" si="1"/>
        <v>26.939571150097464</v>
      </c>
      <c r="AI29" s="66"/>
      <c r="AJ29" s="66"/>
      <c r="AL29" s="53">
        <v>83</v>
      </c>
      <c r="AM29" s="53">
        <v>48</v>
      </c>
      <c r="AN29" s="53">
        <v>90</v>
      </c>
      <c r="AO29" s="53">
        <v>50</v>
      </c>
      <c r="AP29" s="53">
        <v>31</v>
      </c>
      <c r="AQ29" s="53">
        <f t="shared" si="7"/>
        <v>302</v>
      </c>
      <c r="AS29" s="53">
        <v>38</v>
      </c>
      <c r="AT29" s="53">
        <v>30</v>
      </c>
      <c r="AU29" s="53">
        <v>67</v>
      </c>
      <c r="AV29" s="53">
        <v>28</v>
      </c>
      <c r="AW29" s="53">
        <v>20</v>
      </c>
      <c r="AX29" s="53">
        <f t="shared" si="8"/>
        <v>183</v>
      </c>
      <c r="BB29" s="53">
        <v>45</v>
      </c>
      <c r="BC29" s="53">
        <v>75</v>
      </c>
      <c r="BD29" s="53">
        <v>32</v>
      </c>
      <c r="BE29" s="53">
        <v>29</v>
      </c>
      <c r="BF29" s="53">
        <v>11</v>
      </c>
      <c r="BG29" s="53">
        <f t="shared" si="9"/>
        <v>192</v>
      </c>
      <c r="BN29" s="53">
        <v>201</v>
      </c>
      <c r="BO29" s="53">
        <v>34</v>
      </c>
      <c r="BP29" s="53">
        <v>105</v>
      </c>
      <c r="BQ29" s="53">
        <v>49</v>
      </c>
      <c r="BR29" s="53">
        <v>26</v>
      </c>
      <c r="BS29" s="53">
        <f t="shared" si="10"/>
        <v>415</v>
      </c>
      <c r="BU29" s="53">
        <v>57</v>
      </c>
      <c r="BV29" s="53">
        <v>27</v>
      </c>
      <c r="BW29" s="53">
        <v>64</v>
      </c>
      <c r="BX29" s="53">
        <v>63</v>
      </c>
      <c r="BY29" s="53">
        <v>19</v>
      </c>
      <c r="BZ29" s="53">
        <f t="shared" si="11"/>
        <v>230</v>
      </c>
      <c r="CB29" s="71">
        <f t="shared" si="13"/>
        <v>10.50381111730805</v>
      </c>
      <c r="CD29" s="53">
        <v>142</v>
      </c>
      <c r="CE29" s="53">
        <v>15</v>
      </c>
      <c r="CF29" s="53">
        <v>50</v>
      </c>
      <c r="CG29" s="53">
        <v>50</v>
      </c>
      <c r="CH29" s="53">
        <v>11</v>
      </c>
      <c r="CI29" s="53">
        <f t="shared" si="12"/>
        <v>268</v>
      </c>
      <c r="CK29" s="66">
        <f t="shared" si="14"/>
        <v>7.894285223957439</v>
      </c>
      <c r="CL29" s="66"/>
      <c r="CM29" s="66"/>
      <c r="CP29" s="53">
        <v>43</v>
      </c>
      <c r="CQ29" s="53">
        <v>22</v>
      </c>
      <c r="CR29" s="53">
        <v>28</v>
      </c>
      <c r="CS29" s="53">
        <v>28</v>
      </c>
      <c r="CT29" s="53">
        <v>12</v>
      </c>
      <c r="CY29" s="53">
        <v>136</v>
      </c>
      <c r="CZ29" s="53">
        <v>79</v>
      </c>
      <c r="DA29" s="53">
        <v>47</v>
      </c>
      <c r="DB29" s="53">
        <v>34</v>
      </c>
      <c r="DC29" s="53">
        <v>34</v>
      </c>
      <c r="DH29" s="53">
        <v>110</v>
      </c>
      <c r="DI29" s="53">
        <v>109</v>
      </c>
      <c r="DJ29" s="53">
        <v>20</v>
      </c>
      <c r="DK29" s="53">
        <v>34</v>
      </c>
      <c r="DL29" s="53">
        <v>36</v>
      </c>
      <c r="DQ29" s="53">
        <v>6</v>
      </c>
      <c r="DR29" s="53">
        <v>33</v>
      </c>
      <c r="DS29" s="53">
        <v>47</v>
      </c>
      <c r="DT29" s="53">
        <v>3</v>
      </c>
      <c r="DU29" s="53">
        <v>8</v>
      </c>
      <c r="DV29" s="66"/>
      <c r="EA29" s="53">
        <v>8</v>
      </c>
      <c r="EB29" s="53">
        <v>17</v>
      </c>
      <c r="EC29" s="53">
        <v>20</v>
      </c>
      <c r="ED29" s="53">
        <v>22</v>
      </c>
      <c r="EE29" s="53">
        <v>65</v>
      </c>
    </row>
    <row r="30" spans="3:135" ht="12.75">
      <c r="C30" s="53" t="s">
        <v>36</v>
      </c>
      <c r="D30" s="53" t="s">
        <v>277</v>
      </c>
      <c r="E30" s="53">
        <v>1</v>
      </c>
      <c r="K30" s="53">
        <f t="shared" si="4"/>
        <v>0</v>
      </c>
      <c r="R30" s="53">
        <f t="shared" si="5"/>
        <v>0</v>
      </c>
      <c r="Y30" s="53">
        <f t="shared" si="0"/>
        <v>0</v>
      </c>
      <c r="AF30" s="53">
        <f t="shared" si="6"/>
        <v>0</v>
      </c>
      <c r="AH30" s="71">
        <f t="shared" si="1"/>
        <v>0</v>
      </c>
      <c r="AI30" s="66"/>
      <c r="AJ30" s="66"/>
      <c r="AL30" s="53">
        <v>3</v>
      </c>
      <c r="AN30" s="53">
        <v>3</v>
      </c>
      <c r="AP30" s="53">
        <v>1</v>
      </c>
      <c r="AQ30" s="53">
        <f t="shared" si="7"/>
        <v>7</v>
      </c>
      <c r="AT30" s="53">
        <v>3</v>
      </c>
      <c r="AU30" s="53">
        <v>7</v>
      </c>
      <c r="AV30" s="53">
        <v>4</v>
      </c>
      <c r="AX30" s="53">
        <f t="shared" si="8"/>
        <v>14</v>
      </c>
      <c r="BC30" s="53">
        <v>5</v>
      </c>
      <c r="BD30" s="53">
        <v>3</v>
      </c>
      <c r="BE30" s="53">
        <v>5</v>
      </c>
      <c r="BF30" s="53">
        <v>1</v>
      </c>
      <c r="BG30" s="53">
        <f t="shared" si="9"/>
        <v>14</v>
      </c>
      <c r="BN30" s="53">
        <v>2</v>
      </c>
      <c r="BP30" s="53">
        <v>3</v>
      </c>
      <c r="BQ30" s="53">
        <v>4</v>
      </c>
      <c r="BR30" s="53">
        <v>1</v>
      </c>
      <c r="BS30" s="53">
        <f t="shared" si="10"/>
        <v>10</v>
      </c>
      <c r="BU30" s="53">
        <v>10</v>
      </c>
      <c r="BV30" s="53">
        <v>9</v>
      </c>
      <c r="BW30" s="53">
        <v>10</v>
      </c>
      <c r="BX30" s="53">
        <v>1</v>
      </c>
      <c r="BZ30" s="53">
        <f t="shared" si="11"/>
        <v>30</v>
      </c>
      <c r="CB30" s="71">
        <f t="shared" si="13"/>
        <v>0.5670198921732664</v>
      </c>
      <c r="CD30" s="53">
        <v>4</v>
      </c>
      <c r="CF30" s="53">
        <v>1</v>
      </c>
      <c r="CG30" s="53">
        <v>7</v>
      </c>
      <c r="CH30" s="53">
        <v>13</v>
      </c>
      <c r="CI30" s="53">
        <f t="shared" si="12"/>
        <v>25</v>
      </c>
      <c r="CK30" s="66">
        <f t="shared" si="14"/>
        <v>0.6692980950746524</v>
      </c>
      <c r="CL30" s="66"/>
      <c r="CM30" s="66"/>
      <c r="CZ30" s="53">
        <v>1</v>
      </c>
      <c r="DU30" s="53">
        <v>1</v>
      </c>
      <c r="DV30" s="66"/>
      <c r="EE30" s="53">
        <v>2</v>
      </c>
    </row>
    <row r="31" spans="4:135" ht="12.75">
      <c r="D31" s="53" t="s">
        <v>37</v>
      </c>
      <c r="E31" s="53">
        <v>1</v>
      </c>
      <c r="F31" s="53">
        <v>27</v>
      </c>
      <c r="G31" s="53">
        <v>6</v>
      </c>
      <c r="H31" s="53">
        <v>103</v>
      </c>
      <c r="I31" s="53">
        <v>30</v>
      </c>
      <c r="J31" s="53">
        <v>3</v>
      </c>
      <c r="K31" s="53">
        <f t="shared" si="4"/>
        <v>169</v>
      </c>
      <c r="M31" s="53">
        <v>4</v>
      </c>
      <c r="O31" s="53">
        <v>1</v>
      </c>
      <c r="Q31" s="53">
        <v>2</v>
      </c>
      <c r="R31" s="53">
        <f t="shared" si="5"/>
        <v>7</v>
      </c>
      <c r="V31" s="53">
        <v>1</v>
      </c>
      <c r="X31" s="53">
        <v>2</v>
      </c>
      <c r="Y31" s="53">
        <f t="shared" si="0"/>
        <v>3</v>
      </c>
      <c r="AA31" s="53">
        <v>3</v>
      </c>
      <c r="AB31" s="53">
        <v>11</v>
      </c>
      <c r="AC31" s="53">
        <v>16</v>
      </c>
      <c r="AD31" s="53">
        <v>14</v>
      </c>
      <c r="AE31" s="53">
        <v>17</v>
      </c>
      <c r="AF31" s="53">
        <f t="shared" si="6"/>
        <v>61</v>
      </c>
      <c r="AH31" s="71">
        <f t="shared" si="1"/>
        <v>1.871345029239766</v>
      </c>
      <c r="AI31" s="66"/>
      <c r="AJ31" s="66"/>
      <c r="AL31" s="53">
        <v>7</v>
      </c>
      <c r="AM31" s="53">
        <v>19</v>
      </c>
      <c r="AN31" s="53">
        <v>1</v>
      </c>
      <c r="AP31" s="53">
        <v>1</v>
      </c>
      <c r="AQ31" s="53">
        <f t="shared" si="7"/>
        <v>28</v>
      </c>
      <c r="AS31" s="53">
        <v>1</v>
      </c>
      <c r="AT31" s="53">
        <v>2</v>
      </c>
      <c r="AU31" s="53">
        <v>17</v>
      </c>
      <c r="AV31" s="53">
        <v>1</v>
      </c>
      <c r="AX31" s="53">
        <f t="shared" si="8"/>
        <v>21</v>
      </c>
      <c r="BC31" s="53">
        <v>1</v>
      </c>
      <c r="BD31" s="53">
        <v>49</v>
      </c>
      <c r="BE31" s="53">
        <v>37</v>
      </c>
      <c r="BF31" s="53">
        <v>1</v>
      </c>
      <c r="BG31" s="53">
        <f t="shared" si="9"/>
        <v>88</v>
      </c>
      <c r="BN31" s="53">
        <v>24</v>
      </c>
      <c r="BQ31" s="53">
        <v>3</v>
      </c>
      <c r="BS31" s="53">
        <f t="shared" si="10"/>
        <v>27</v>
      </c>
      <c r="BU31" s="53">
        <v>14</v>
      </c>
      <c r="BV31" s="53">
        <v>6</v>
      </c>
      <c r="BW31" s="53">
        <v>23</v>
      </c>
      <c r="BX31" s="53">
        <v>5</v>
      </c>
      <c r="BZ31" s="53">
        <f t="shared" si="11"/>
        <v>48</v>
      </c>
      <c r="CB31" s="71">
        <f t="shared" si="13"/>
        <v>1.1526306004833613</v>
      </c>
      <c r="CD31" s="53">
        <v>1</v>
      </c>
      <c r="CI31" s="53">
        <f t="shared" si="12"/>
        <v>1</v>
      </c>
      <c r="CK31" s="66">
        <f t="shared" si="14"/>
        <v>1.5273725759395915</v>
      </c>
      <c r="CL31" s="66"/>
      <c r="CM31" s="66"/>
      <c r="CQ31" s="53">
        <v>3</v>
      </c>
      <c r="CR31" s="53">
        <v>1</v>
      </c>
      <c r="CS31" s="53">
        <v>2</v>
      </c>
      <c r="CT31" s="53">
        <v>7</v>
      </c>
      <c r="CY31" s="53">
        <v>11</v>
      </c>
      <c r="CZ31" s="53">
        <v>16</v>
      </c>
      <c r="DB31" s="53">
        <v>10</v>
      </c>
      <c r="DC31" s="53">
        <v>6</v>
      </c>
      <c r="DH31" s="53">
        <v>1</v>
      </c>
      <c r="DI31" s="53">
        <v>6</v>
      </c>
      <c r="DJ31" s="53">
        <v>3</v>
      </c>
      <c r="DK31" s="53">
        <v>12</v>
      </c>
      <c r="DL31" s="53">
        <v>1</v>
      </c>
      <c r="DS31" s="53">
        <v>1</v>
      </c>
      <c r="DT31" s="53">
        <v>3</v>
      </c>
      <c r="DU31" s="53">
        <v>4</v>
      </c>
      <c r="DV31" s="66"/>
      <c r="EB31" s="53">
        <v>3</v>
      </c>
      <c r="EC31" s="53">
        <v>3</v>
      </c>
      <c r="ED31" s="53">
        <v>1</v>
      </c>
      <c r="EE31" s="53">
        <v>12</v>
      </c>
    </row>
    <row r="32" spans="3:133" ht="12.75">
      <c r="C32" s="53" t="s">
        <v>114</v>
      </c>
      <c r="D32" s="53" t="s">
        <v>115</v>
      </c>
      <c r="E32" s="53">
        <v>2</v>
      </c>
      <c r="H32" s="53">
        <v>1</v>
      </c>
      <c r="K32" s="53">
        <f t="shared" si="4"/>
        <v>1</v>
      </c>
      <c r="P32" s="53">
        <v>1</v>
      </c>
      <c r="R32" s="53">
        <f t="shared" si="5"/>
        <v>1</v>
      </c>
      <c r="Y32" s="53">
        <f t="shared" si="0"/>
        <v>0</v>
      </c>
      <c r="AF32" s="53">
        <f t="shared" si="6"/>
        <v>0</v>
      </c>
      <c r="AH32" s="71">
        <f t="shared" si="1"/>
        <v>0.015594541910331383</v>
      </c>
      <c r="AI32" s="66"/>
      <c r="AJ32" s="66"/>
      <c r="AL32" s="53">
        <v>2</v>
      </c>
      <c r="AM32" s="53">
        <v>4</v>
      </c>
      <c r="AN32" s="53">
        <v>1</v>
      </c>
      <c r="AO32" s="53">
        <v>1</v>
      </c>
      <c r="AQ32" s="53">
        <f t="shared" si="7"/>
        <v>8</v>
      </c>
      <c r="AT32" s="53">
        <v>4</v>
      </c>
      <c r="AU32" s="53">
        <v>28</v>
      </c>
      <c r="AW32" s="53">
        <v>9</v>
      </c>
      <c r="AX32" s="53">
        <f t="shared" si="8"/>
        <v>41</v>
      </c>
      <c r="BG32" s="53">
        <f t="shared" si="9"/>
        <v>0</v>
      </c>
      <c r="BN32" s="53">
        <v>2</v>
      </c>
      <c r="BO32" s="53">
        <v>3</v>
      </c>
      <c r="BP32" s="53">
        <v>1</v>
      </c>
      <c r="BS32" s="53">
        <f t="shared" si="10"/>
        <v>6</v>
      </c>
      <c r="BU32" s="53">
        <v>4</v>
      </c>
      <c r="BV32" s="53">
        <v>8</v>
      </c>
      <c r="BW32" s="53">
        <v>9</v>
      </c>
      <c r="BX32" s="53">
        <v>1</v>
      </c>
      <c r="BY32" s="53">
        <v>11</v>
      </c>
      <c r="BZ32" s="53">
        <f t="shared" si="11"/>
        <v>33</v>
      </c>
      <c r="CB32" s="71">
        <f t="shared" si="13"/>
        <v>0.8179959100204499</v>
      </c>
      <c r="CD32" s="53">
        <v>1</v>
      </c>
      <c r="CI32" s="53">
        <f t="shared" si="12"/>
        <v>1</v>
      </c>
      <c r="CK32" s="66">
        <f t="shared" si="14"/>
        <v>0.01716148961729878</v>
      </c>
      <c r="CL32" s="66"/>
      <c r="CM32" s="66"/>
      <c r="CQ32" s="53">
        <v>1</v>
      </c>
      <c r="CS32" s="53">
        <v>9</v>
      </c>
      <c r="CT32" s="53">
        <v>1</v>
      </c>
      <c r="CY32" s="53">
        <v>4</v>
      </c>
      <c r="CZ32" s="53">
        <v>3</v>
      </c>
      <c r="DB32" s="53">
        <v>3</v>
      </c>
      <c r="DI32" s="53">
        <v>2</v>
      </c>
      <c r="DU32" s="53">
        <v>1</v>
      </c>
      <c r="DV32" s="66"/>
      <c r="EC32" s="53">
        <v>1</v>
      </c>
    </row>
    <row r="33" spans="4:126" ht="12.75">
      <c r="D33" s="53" t="s">
        <v>376</v>
      </c>
      <c r="E33" s="53">
        <v>2</v>
      </c>
      <c r="K33" s="53">
        <f t="shared" si="4"/>
        <v>0</v>
      </c>
      <c r="R33" s="53">
        <f t="shared" si="5"/>
        <v>0</v>
      </c>
      <c r="Y33" s="53">
        <f t="shared" si="0"/>
        <v>0</v>
      </c>
      <c r="AF33" s="53">
        <f t="shared" si="6"/>
        <v>0</v>
      </c>
      <c r="AH33" s="71">
        <f t="shared" si="1"/>
        <v>0</v>
      </c>
      <c r="AI33" s="66"/>
      <c r="AJ33" s="66"/>
      <c r="AQ33" s="53">
        <f t="shared" si="7"/>
        <v>0</v>
      </c>
      <c r="AX33" s="53">
        <f t="shared" si="8"/>
        <v>0</v>
      </c>
      <c r="BG33" s="53">
        <f t="shared" si="9"/>
        <v>0</v>
      </c>
      <c r="BO33" s="53">
        <v>1</v>
      </c>
      <c r="BS33" s="53">
        <f t="shared" si="10"/>
        <v>1</v>
      </c>
      <c r="BZ33" s="53">
        <f t="shared" si="11"/>
        <v>0</v>
      </c>
      <c r="CB33" s="71">
        <f t="shared" si="13"/>
        <v>0.009295408068414203</v>
      </c>
      <c r="CI33" s="53">
        <f t="shared" si="12"/>
        <v>0</v>
      </c>
      <c r="CK33" s="66">
        <f t="shared" si="14"/>
        <v>0</v>
      </c>
      <c r="CL33" s="66"/>
      <c r="CM33" s="66"/>
      <c r="DV33" s="66"/>
    </row>
    <row r="34" spans="3:134" ht="12.75">
      <c r="C34" s="53" t="s">
        <v>116</v>
      </c>
      <c r="D34" s="53" t="s">
        <v>117</v>
      </c>
      <c r="E34" s="53">
        <v>2</v>
      </c>
      <c r="H34" s="53">
        <v>2</v>
      </c>
      <c r="K34" s="53">
        <f t="shared" si="4"/>
        <v>2</v>
      </c>
      <c r="P34" s="53">
        <v>1</v>
      </c>
      <c r="R34" s="53">
        <f t="shared" si="5"/>
        <v>1</v>
      </c>
      <c r="Y34" s="53">
        <f t="shared" si="0"/>
        <v>0</v>
      </c>
      <c r="AA34" s="53">
        <v>4</v>
      </c>
      <c r="AB34" s="53">
        <v>2</v>
      </c>
      <c r="AC34" s="53">
        <v>1</v>
      </c>
      <c r="AF34" s="53">
        <f t="shared" si="6"/>
        <v>7</v>
      </c>
      <c r="AH34" s="71">
        <f t="shared" si="1"/>
        <v>0.07797270955165692</v>
      </c>
      <c r="AI34" s="66"/>
      <c r="AJ34" s="66"/>
      <c r="AM34" s="53">
        <v>2</v>
      </c>
      <c r="AN34" s="53">
        <v>1</v>
      </c>
      <c r="AQ34" s="53">
        <f t="shared" si="7"/>
        <v>3</v>
      </c>
      <c r="AX34" s="53">
        <f t="shared" si="8"/>
        <v>0</v>
      </c>
      <c r="BD34" s="53">
        <v>8</v>
      </c>
      <c r="BF34" s="53">
        <v>2</v>
      </c>
      <c r="BG34" s="53">
        <f t="shared" si="9"/>
        <v>10</v>
      </c>
      <c r="BN34" s="53">
        <v>2</v>
      </c>
      <c r="BS34" s="53">
        <f t="shared" si="10"/>
        <v>2</v>
      </c>
      <c r="BZ34" s="53">
        <f t="shared" si="11"/>
        <v>0</v>
      </c>
      <c r="CB34" s="71">
        <f t="shared" si="13"/>
        <v>0.046477040342071015</v>
      </c>
      <c r="CE34" s="53">
        <v>1</v>
      </c>
      <c r="CI34" s="53">
        <f t="shared" si="12"/>
        <v>1</v>
      </c>
      <c r="CK34" s="66">
        <f t="shared" si="14"/>
        <v>0.1887763857902866</v>
      </c>
      <c r="CL34" s="66"/>
      <c r="CM34" s="66"/>
      <c r="CQ34" s="53">
        <v>2</v>
      </c>
      <c r="CS34" s="53">
        <v>5</v>
      </c>
      <c r="CT34" s="53">
        <v>6</v>
      </c>
      <c r="DA34" s="53">
        <v>1</v>
      </c>
      <c r="DB34" s="53">
        <v>1</v>
      </c>
      <c r="DH34" s="53">
        <v>2</v>
      </c>
      <c r="DI34" s="53">
        <v>3</v>
      </c>
      <c r="DJ34" s="53">
        <v>1</v>
      </c>
      <c r="DK34" s="53">
        <v>4</v>
      </c>
      <c r="DR34" s="53">
        <v>1</v>
      </c>
      <c r="DU34" s="53">
        <v>1</v>
      </c>
      <c r="DV34" s="66"/>
      <c r="EB34" s="53">
        <v>2</v>
      </c>
      <c r="EC34" s="53">
        <v>1</v>
      </c>
      <c r="ED34" s="53">
        <v>1</v>
      </c>
    </row>
    <row r="35" spans="3:126" ht="12.75">
      <c r="C35" s="53" t="s">
        <v>91</v>
      </c>
      <c r="D35" s="53" t="s">
        <v>120</v>
      </c>
      <c r="E35" s="53">
        <v>2</v>
      </c>
      <c r="H35" s="53">
        <v>2</v>
      </c>
      <c r="K35" s="53">
        <f t="shared" si="4"/>
        <v>2</v>
      </c>
      <c r="R35" s="53">
        <f t="shared" si="5"/>
        <v>0</v>
      </c>
      <c r="W35" s="53">
        <v>1</v>
      </c>
      <c r="Y35" s="53">
        <f t="shared" si="0"/>
        <v>1</v>
      </c>
      <c r="AF35" s="53">
        <f t="shared" si="6"/>
        <v>0</v>
      </c>
      <c r="AH35" s="71">
        <f t="shared" si="1"/>
        <v>0.023391812865497075</v>
      </c>
      <c r="AI35" s="66"/>
      <c r="AJ35" s="66"/>
      <c r="AQ35" s="53">
        <f t="shared" si="7"/>
        <v>0</v>
      </c>
      <c r="AX35" s="53">
        <f t="shared" si="8"/>
        <v>0</v>
      </c>
      <c r="BG35" s="53">
        <f t="shared" si="9"/>
        <v>0</v>
      </c>
      <c r="BS35" s="53">
        <f t="shared" si="10"/>
        <v>0</v>
      </c>
      <c r="BZ35" s="53">
        <f t="shared" si="11"/>
        <v>0</v>
      </c>
      <c r="CB35" s="71">
        <f t="shared" si="13"/>
        <v>0</v>
      </c>
      <c r="CI35" s="53">
        <f t="shared" si="12"/>
        <v>0</v>
      </c>
      <c r="CK35" s="66">
        <f t="shared" si="14"/>
        <v>0</v>
      </c>
      <c r="CL35" s="66"/>
      <c r="CM35" s="66"/>
      <c r="CS35" s="53">
        <v>3</v>
      </c>
      <c r="CT35" s="53">
        <v>3</v>
      </c>
      <c r="CY35" s="53">
        <v>5</v>
      </c>
      <c r="CZ35" s="53">
        <v>3</v>
      </c>
      <c r="DA35" s="53">
        <v>2</v>
      </c>
      <c r="DB35" s="53">
        <v>2</v>
      </c>
      <c r="DC35" s="53">
        <v>1</v>
      </c>
      <c r="DQ35" s="53">
        <v>1</v>
      </c>
      <c r="DV35" s="66"/>
    </row>
    <row r="36" spans="4:132" ht="12.75">
      <c r="D36" s="53" t="s">
        <v>533</v>
      </c>
      <c r="E36" s="53">
        <v>2</v>
      </c>
      <c r="F36" s="53">
        <v>1</v>
      </c>
      <c r="H36" s="53">
        <v>2</v>
      </c>
      <c r="I36" s="53">
        <v>1</v>
      </c>
      <c r="K36" s="53">
        <f t="shared" si="4"/>
        <v>4</v>
      </c>
      <c r="N36" s="53">
        <v>1</v>
      </c>
      <c r="Q36" s="53">
        <v>1</v>
      </c>
      <c r="R36" s="53">
        <f t="shared" si="5"/>
        <v>2</v>
      </c>
      <c r="T36" s="53">
        <v>3</v>
      </c>
      <c r="X36" s="53">
        <v>1</v>
      </c>
      <c r="Y36" s="53">
        <f t="shared" si="0"/>
        <v>4</v>
      </c>
      <c r="AA36" s="53">
        <v>2</v>
      </c>
      <c r="AB36" s="53">
        <v>1</v>
      </c>
      <c r="AF36" s="53">
        <f t="shared" si="6"/>
        <v>3</v>
      </c>
      <c r="AH36" s="71">
        <f t="shared" si="1"/>
        <v>0.10136452241715399</v>
      </c>
      <c r="AI36" s="66"/>
      <c r="AJ36" s="66"/>
      <c r="AL36" s="53">
        <v>1</v>
      </c>
      <c r="AM36" s="53">
        <v>2</v>
      </c>
      <c r="AN36" s="53">
        <v>2</v>
      </c>
      <c r="AQ36" s="53">
        <f t="shared" si="7"/>
        <v>5</v>
      </c>
      <c r="AX36" s="53">
        <f t="shared" si="8"/>
        <v>0</v>
      </c>
      <c r="BE36" s="53">
        <v>1</v>
      </c>
      <c r="BG36" s="53">
        <f t="shared" si="9"/>
        <v>1</v>
      </c>
      <c r="BS36" s="53">
        <f t="shared" si="10"/>
        <v>0</v>
      </c>
      <c r="BZ36" s="53">
        <f t="shared" si="11"/>
        <v>0</v>
      </c>
      <c r="CB36" s="71">
        <f t="shared" si="13"/>
        <v>0.046477040342071015</v>
      </c>
      <c r="CD36" s="53">
        <v>1</v>
      </c>
      <c r="CE36" s="53">
        <v>1</v>
      </c>
      <c r="CI36" s="53">
        <f t="shared" si="12"/>
        <v>2</v>
      </c>
      <c r="CK36" s="66">
        <f t="shared" si="14"/>
        <v>0.051484468851896344</v>
      </c>
      <c r="CL36" s="66"/>
      <c r="CM36" s="66"/>
      <c r="DH36" s="53">
        <v>1</v>
      </c>
      <c r="DJ36" s="53">
        <v>1</v>
      </c>
      <c r="DK36" s="53">
        <v>1</v>
      </c>
      <c r="DL36" s="53">
        <v>1</v>
      </c>
      <c r="DV36" s="66"/>
      <c r="EB36" s="53">
        <v>1</v>
      </c>
    </row>
    <row r="37" spans="4:126" ht="12.75">
      <c r="D37" s="53" t="s">
        <v>377</v>
      </c>
      <c r="E37" s="53">
        <v>2</v>
      </c>
      <c r="K37" s="53">
        <f t="shared" si="4"/>
        <v>0</v>
      </c>
      <c r="R37" s="53">
        <f t="shared" si="5"/>
        <v>0</v>
      </c>
      <c r="Y37" s="53">
        <f t="shared" si="0"/>
        <v>0</v>
      </c>
      <c r="AF37" s="53">
        <f t="shared" si="6"/>
        <v>0</v>
      </c>
      <c r="AH37" s="71">
        <f t="shared" si="1"/>
        <v>0</v>
      </c>
      <c r="AI37" s="66"/>
      <c r="AJ37" s="66"/>
      <c r="AQ37" s="53">
        <f t="shared" si="7"/>
        <v>0</v>
      </c>
      <c r="AX37" s="53">
        <f t="shared" si="8"/>
        <v>0</v>
      </c>
      <c r="BG37" s="53">
        <f t="shared" si="9"/>
        <v>0</v>
      </c>
      <c r="BO37" s="53">
        <v>1</v>
      </c>
      <c r="BS37" s="53">
        <f t="shared" si="10"/>
        <v>1</v>
      </c>
      <c r="BZ37" s="53">
        <f t="shared" si="11"/>
        <v>0</v>
      </c>
      <c r="CB37" s="71">
        <f t="shared" si="13"/>
        <v>0.009295408068414203</v>
      </c>
      <c r="CI37" s="53">
        <f t="shared" si="12"/>
        <v>0</v>
      </c>
      <c r="CK37" s="66">
        <f t="shared" si="14"/>
        <v>0</v>
      </c>
      <c r="CL37" s="66"/>
      <c r="CM37" s="66"/>
      <c r="DV37" s="66"/>
    </row>
    <row r="38" spans="4:135" ht="12.75">
      <c r="D38" s="53" t="s">
        <v>92</v>
      </c>
      <c r="E38" s="53">
        <v>2</v>
      </c>
      <c r="F38" s="53">
        <v>2</v>
      </c>
      <c r="H38" s="53">
        <v>2</v>
      </c>
      <c r="I38" s="53">
        <v>1</v>
      </c>
      <c r="K38" s="53">
        <f t="shared" si="4"/>
        <v>5</v>
      </c>
      <c r="R38" s="53">
        <f t="shared" si="5"/>
        <v>0</v>
      </c>
      <c r="Y38" s="53">
        <f t="shared" si="0"/>
        <v>0</v>
      </c>
      <c r="AB38" s="53">
        <v>2</v>
      </c>
      <c r="AC38" s="53">
        <v>1</v>
      </c>
      <c r="AF38" s="53">
        <f t="shared" si="6"/>
        <v>3</v>
      </c>
      <c r="AH38" s="71">
        <f t="shared" si="1"/>
        <v>0.06237816764132553</v>
      </c>
      <c r="AI38" s="66"/>
      <c r="AJ38" s="66"/>
      <c r="AM38" s="53">
        <v>2</v>
      </c>
      <c r="AO38" s="53">
        <v>1</v>
      </c>
      <c r="AQ38" s="53">
        <f t="shared" si="7"/>
        <v>3</v>
      </c>
      <c r="AS38" s="53">
        <v>1</v>
      </c>
      <c r="AU38" s="53">
        <v>1</v>
      </c>
      <c r="AW38" s="53">
        <v>3</v>
      </c>
      <c r="AX38" s="53">
        <f t="shared" si="8"/>
        <v>5</v>
      </c>
      <c r="BB38" s="53">
        <v>1</v>
      </c>
      <c r="BD38" s="53">
        <v>3</v>
      </c>
      <c r="BE38" s="53">
        <v>1</v>
      </c>
      <c r="BF38" s="53">
        <v>1</v>
      </c>
      <c r="BG38" s="53">
        <f t="shared" si="9"/>
        <v>6</v>
      </c>
      <c r="BN38" s="53">
        <v>1</v>
      </c>
      <c r="BO38" s="53">
        <v>1</v>
      </c>
      <c r="BP38" s="53">
        <v>1</v>
      </c>
      <c r="BQ38" s="53">
        <v>1</v>
      </c>
      <c r="BR38" s="53">
        <v>1</v>
      </c>
      <c r="BS38" s="53">
        <f t="shared" si="10"/>
        <v>5</v>
      </c>
      <c r="BU38" s="53">
        <v>1</v>
      </c>
      <c r="BV38" s="53">
        <v>2</v>
      </c>
      <c r="BW38" s="53">
        <v>1</v>
      </c>
      <c r="BX38" s="53">
        <v>1</v>
      </c>
      <c r="BY38" s="53">
        <v>1</v>
      </c>
      <c r="BZ38" s="53">
        <f t="shared" si="11"/>
        <v>6</v>
      </c>
      <c r="CB38" s="71">
        <f t="shared" si="13"/>
        <v>0.17661275329986986</v>
      </c>
      <c r="CD38" s="53">
        <v>1</v>
      </c>
      <c r="CE38" s="53">
        <v>1</v>
      </c>
      <c r="CH38" s="53">
        <v>1</v>
      </c>
      <c r="CI38" s="53">
        <f t="shared" si="12"/>
        <v>3</v>
      </c>
      <c r="CK38" s="66">
        <f t="shared" si="14"/>
        <v>0.15445340655568904</v>
      </c>
      <c r="CL38" s="66"/>
      <c r="CM38" s="66"/>
      <c r="CP38" s="53">
        <v>1</v>
      </c>
      <c r="CQ38" s="53">
        <v>3</v>
      </c>
      <c r="CR38" s="53">
        <v>1</v>
      </c>
      <c r="CT38" s="53">
        <v>1</v>
      </c>
      <c r="CY38" s="53">
        <v>5</v>
      </c>
      <c r="CZ38" s="53">
        <v>6</v>
      </c>
      <c r="DA38" s="53">
        <v>2</v>
      </c>
      <c r="DB38" s="53">
        <v>5</v>
      </c>
      <c r="DC38" s="53">
        <v>1</v>
      </c>
      <c r="DH38" s="53">
        <v>1</v>
      </c>
      <c r="DI38" s="53">
        <v>1</v>
      </c>
      <c r="DK38" s="53">
        <v>1</v>
      </c>
      <c r="DL38" s="53">
        <v>2</v>
      </c>
      <c r="DR38" s="53">
        <v>2</v>
      </c>
      <c r="DS38" s="53">
        <v>1</v>
      </c>
      <c r="DT38" s="53">
        <v>1</v>
      </c>
      <c r="DU38" s="53">
        <v>2</v>
      </c>
      <c r="DV38" s="66"/>
      <c r="EA38" s="53">
        <v>1</v>
      </c>
      <c r="EB38" s="53">
        <v>3</v>
      </c>
      <c r="EC38" s="53">
        <v>4</v>
      </c>
      <c r="ED38" s="53">
        <v>2</v>
      </c>
      <c r="EE38" s="53">
        <v>1</v>
      </c>
    </row>
    <row r="39" spans="4:126" ht="12.75">
      <c r="D39" s="53" t="s">
        <v>525</v>
      </c>
      <c r="E39" s="53">
        <v>2</v>
      </c>
      <c r="K39" s="53">
        <f t="shared" si="4"/>
        <v>0</v>
      </c>
      <c r="R39" s="53">
        <f t="shared" si="5"/>
        <v>0</v>
      </c>
      <c r="Y39" s="53">
        <f t="shared" si="0"/>
        <v>0</v>
      </c>
      <c r="AF39" s="53">
        <f t="shared" si="6"/>
        <v>0</v>
      </c>
      <c r="AH39" s="71">
        <f t="shared" si="1"/>
        <v>0</v>
      </c>
      <c r="AI39" s="66"/>
      <c r="AJ39" s="66"/>
      <c r="CB39" s="71"/>
      <c r="CK39" s="66"/>
      <c r="CL39" s="66"/>
      <c r="CM39" s="66"/>
      <c r="DI39" s="53">
        <v>1</v>
      </c>
      <c r="DV39" s="66"/>
    </row>
    <row r="40" spans="4:126" ht="12.75">
      <c r="D40" s="53" t="s">
        <v>531</v>
      </c>
      <c r="E40" s="53">
        <v>2</v>
      </c>
      <c r="I40" s="53">
        <v>1</v>
      </c>
      <c r="K40" s="53">
        <f t="shared" si="4"/>
        <v>1</v>
      </c>
      <c r="R40" s="53">
        <f t="shared" si="5"/>
        <v>0</v>
      </c>
      <c r="Y40" s="53">
        <f t="shared" si="0"/>
        <v>0</v>
      </c>
      <c r="AF40" s="53">
        <f t="shared" si="6"/>
        <v>0</v>
      </c>
      <c r="AH40" s="71">
        <f t="shared" si="1"/>
        <v>0.007797270955165692</v>
      </c>
      <c r="AI40" s="66"/>
      <c r="AJ40" s="66"/>
      <c r="CB40" s="71"/>
      <c r="CK40" s="66"/>
      <c r="CL40" s="66"/>
      <c r="CM40" s="66"/>
      <c r="DV40" s="66"/>
    </row>
    <row r="41" spans="3:126" ht="12.75">
      <c r="C41" s="53" t="s">
        <v>118</v>
      </c>
      <c r="D41" s="53" t="s">
        <v>119</v>
      </c>
      <c r="E41" s="53">
        <v>1</v>
      </c>
      <c r="H41" s="53">
        <v>1</v>
      </c>
      <c r="I41" s="53">
        <v>1</v>
      </c>
      <c r="K41" s="53">
        <f t="shared" si="4"/>
        <v>2</v>
      </c>
      <c r="M41" s="53">
        <v>1</v>
      </c>
      <c r="R41" s="53">
        <f t="shared" si="5"/>
        <v>1</v>
      </c>
      <c r="Y41" s="53">
        <f t="shared" si="0"/>
        <v>0</v>
      </c>
      <c r="AF41" s="53">
        <f t="shared" si="6"/>
        <v>0</v>
      </c>
      <c r="AH41" s="71">
        <f t="shared" si="1"/>
        <v>0.023391812865497075</v>
      </c>
      <c r="AI41" s="66"/>
      <c r="AJ41" s="66"/>
      <c r="AQ41" s="53">
        <f t="shared" si="7"/>
        <v>0</v>
      </c>
      <c r="AX41" s="53">
        <f t="shared" si="8"/>
        <v>0</v>
      </c>
      <c r="BG41" s="53">
        <f t="shared" si="9"/>
        <v>0</v>
      </c>
      <c r="BS41" s="53">
        <f t="shared" si="10"/>
        <v>0</v>
      </c>
      <c r="BZ41" s="53">
        <f t="shared" si="11"/>
        <v>0</v>
      </c>
      <c r="CB41" s="71">
        <f aca="true" t="shared" si="15" ref="CB41:CB51">100*SUM($AL41:$AP41,$AS41:$AW41,$BN41:$BR41,$BU41:$BY41)/SUM($AQ$169,$AX$169,$BS$169,$BZ$169)</f>
        <v>0</v>
      </c>
      <c r="CI41" s="53">
        <f t="shared" si="12"/>
        <v>0</v>
      </c>
      <c r="CK41" s="66">
        <f>100*(BG41+CI41)/($BG$169+$CI$169)</f>
        <v>0</v>
      </c>
      <c r="CL41" s="66"/>
      <c r="CM41" s="66"/>
      <c r="DV41" s="66"/>
    </row>
    <row r="42" spans="4:126" ht="12.75">
      <c r="D42" s="53" t="s">
        <v>307</v>
      </c>
      <c r="E42" s="53">
        <v>1</v>
      </c>
      <c r="K42" s="53">
        <f t="shared" si="4"/>
        <v>0</v>
      </c>
      <c r="R42" s="53">
        <f t="shared" si="5"/>
        <v>0</v>
      </c>
      <c r="Y42" s="53">
        <f t="shared" si="0"/>
        <v>0</v>
      </c>
      <c r="AF42" s="53">
        <f t="shared" si="6"/>
        <v>0</v>
      </c>
      <c r="AH42" s="71">
        <f t="shared" si="1"/>
        <v>0</v>
      </c>
      <c r="AI42" s="66"/>
      <c r="AJ42" s="66"/>
      <c r="AQ42" s="53">
        <f t="shared" si="7"/>
        <v>0</v>
      </c>
      <c r="AW42" s="53">
        <v>1</v>
      </c>
      <c r="AX42" s="53">
        <f t="shared" si="8"/>
        <v>1</v>
      </c>
      <c r="BG42" s="53">
        <f t="shared" si="9"/>
        <v>0</v>
      </c>
      <c r="BR42" s="53">
        <v>1</v>
      </c>
      <c r="BS42" s="53">
        <f t="shared" si="10"/>
        <v>1</v>
      </c>
      <c r="BV42" s="53">
        <v>1</v>
      </c>
      <c r="BW42" s="53">
        <v>1</v>
      </c>
      <c r="BZ42" s="53">
        <f t="shared" si="11"/>
        <v>2</v>
      </c>
      <c r="CB42" s="71">
        <f t="shared" si="15"/>
        <v>0.03718163227365681</v>
      </c>
      <c r="CI42" s="53">
        <f t="shared" si="12"/>
        <v>0</v>
      </c>
      <c r="CK42" s="66">
        <f>100*(BG42+CI42)/($BG$169+$CI$169)</f>
        <v>0</v>
      </c>
      <c r="CL42" s="66"/>
      <c r="CM42" s="66"/>
      <c r="CZ42" s="53">
        <v>1</v>
      </c>
      <c r="DV42" s="66"/>
    </row>
    <row r="43" spans="3:126" ht="12.75">
      <c r="C43" s="53" t="s">
        <v>284</v>
      </c>
      <c r="D43" s="53" t="s">
        <v>285</v>
      </c>
      <c r="E43" s="53">
        <v>0</v>
      </c>
      <c r="K43" s="53">
        <f t="shared" si="4"/>
        <v>0</v>
      </c>
      <c r="R43" s="53">
        <f t="shared" si="5"/>
        <v>0</v>
      </c>
      <c r="Y43" s="53">
        <f t="shared" si="0"/>
        <v>0</v>
      </c>
      <c r="AF43" s="53">
        <f t="shared" si="6"/>
        <v>0</v>
      </c>
      <c r="AH43" s="71">
        <f t="shared" si="1"/>
        <v>0</v>
      </c>
      <c r="AI43" s="66"/>
      <c r="AJ43" s="66"/>
      <c r="AM43" s="53">
        <v>1</v>
      </c>
      <c r="AN43" s="53">
        <v>1</v>
      </c>
      <c r="AQ43" s="53">
        <f t="shared" si="7"/>
        <v>2</v>
      </c>
      <c r="AX43" s="53">
        <f t="shared" si="8"/>
        <v>0</v>
      </c>
      <c r="BG43" s="53">
        <f t="shared" si="9"/>
        <v>0</v>
      </c>
      <c r="BS43" s="53">
        <f t="shared" si="10"/>
        <v>0</v>
      </c>
      <c r="BY43" s="53">
        <v>1</v>
      </c>
      <c r="BZ43" s="53">
        <f t="shared" si="11"/>
        <v>1</v>
      </c>
      <c r="CB43" s="71">
        <f t="shared" si="15"/>
        <v>0.02788622420524261</v>
      </c>
      <c r="CI43" s="53">
        <f t="shared" si="12"/>
        <v>0</v>
      </c>
      <c r="CK43" s="66">
        <f>100*(BG43+CI43)/($BG$169+$CI$169)</f>
        <v>0</v>
      </c>
      <c r="CL43" s="66"/>
      <c r="CM43" s="66"/>
      <c r="DV43" s="66"/>
    </row>
    <row r="44" spans="2:135" ht="12.75">
      <c r="B44" s="53" t="s">
        <v>22</v>
      </c>
      <c r="C44" s="53" t="s">
        <v>89</v>
      </c>
      <c r="D44" s="53" t="s">
        <v>90</v>
      </c>
      <c r="E44" s="53">
        <v>0</v>
      </c>
      <c r="F44" s="53">
        <v>1</v>
      </c>
      <c r="H44" s="53">
        <v>2</v>
      </c>
      <c r="I44" s="53">
        <v>3</v>
      </c>
      <c r="K44" s="53">
        <f t="shared" si="4"/>
        <v>6</v>
      </c>
      <c r="Q44" s="53">
        <v>1</v>
      </c>
      <c r="R44" s="53">
        <f t="shared" si="5"/>
        <v>1</v>
      </c>
      <c r="Y44" s="53">
        <f t="shared" si="0"/>
        <v>0</v>
      </c>
      <c r="AA44" s="53">
        <v>3</v>
      </c>
      <c r="AB44" s="53">
        <v>4</v>
      </c>
      <c r="AC44" s="53">
        <v>1</v>
      </c>
      <c r="AF44" s="53">
        <f t="shared" si="6"/>
        <v>8</v>
      </c>
      <c r="AH44" s="71">
        <f aca="true" t="shared" si="16" ref="AH44:AH75">100*SUM(F44:J44,M44:Q44,T44:X44,AA44:AE44)/SUM($K$169,$R$169,$Y$169,$AF$169)</f>
        <v>0.11695906432748537</v>
      </c>
      <c r="AI44" s="66"/>
      <c r="AJ44" s="66"/>
      <c r="AQ44" s="53">
        <f t="shared" si="7"/>
        <v>0</v>
      </c>
      <c r="AS44" s="53">
        <v>3</v>
      </c>
      <c r="AW44" s="53">
        <v>1</v>
      </c>
      <c r="AX44" s="53">
        <f t="shared" si="8"/>
        <v>4</v>
      </c>
      <c r="BD44" s="53">
        <v>3</v>
      </c>
      <c r="BG44" s="53">
        <f t="shared" si="9"/>
        <v>3</v>
      </c>
      <c r="BS44" s="53">
        <f t="shared" si="10"/>
        <v>0</v>
      </c>
      <c r="BU44" s="53">
        <v>1</v>
      </c>
      <c r="BV44" s="53">
        <v>1</v>
      </c>
      <c r="BY44" s="53">
        <v>1</v>
      </c>
      <c r="BZ44" s="53">
        <f t="shared" si="11"/>
        <v>3</v>
      </c>
      <c r="CB44" s="71">
        <f t="shared" si="15"/>
        <v>0.06506785647889943</v>
      </c>
      <c r="CI44" s="53">
        <f t="shared" si="12"/>
        <v>0</v>
      </c>
      <c r="CK44" s="66">
        <f>100*(BG44+CI44)/($BG$169+$CI$169)</f>
        <v>0.051484468851896344</v>
      </c>
      <c r="CL44" s="66"/>
      <c r="CM44" s="66"/>
      <c r="CQ44" s="53">
        <v>3</v>
      </c>
      <c r="CR44" s="53">
        <v>2</v>
      </c>
      <c r="CS44" s="53">
        <v>1</v>
      </c>
      <c r="CT44" s="53">
        <v>3</v>
      </c>
      <c r="CY44" s="53">
        <v>4</v>
      </c>
      <c r="DA44" s="53">
        <v>1</v>
      </c>
      <c r="DC44" s="53">
        <v>3</v>
      </c>
      <c r="DI44" s="53">
        <v>5</v>
      </c>
      <c r="DJ44" s="53">
        <v>1</v>
      </c>
      <c r="DK44" s="53">
        <v>1</v>
      </c>
      <c r="DT44" s="53">
        <v>1</v>
      </c>
      <c r="DU44" s="53">
        <v>1</v>
      </c>
      <c r="DV44" s="66"/>
      <c r="EB44" s="53">
        <v>1</v>
      </c>
      <c r="EC44" s="53">
        <v>1</v>
      </c>
      <c r="EE44" s="53">
        <v>1</v>
      </c>
    </row>
    <row r="45" spans="4:135" ht="12.75">
      <c r="D45" s="53" t="s">
        <v>211</v>
      </c>
      <c r="E45" s="53">
        <v>0</v>
      </c>
      <c r="K45" s="53">
        <f t="shared" si="4"/>
        <v>0</v>
      </c>
      <c r="R45" s="53">
        <f t="shared" si="5"/>
        <v>0</v>
      </c>
      <c r="Y45" s="53">
        <f t="shared" si="0"/>
        <v>0</v>
      </c>
      <c r="AA45" s="53">
        <v>2</v>
      </c>
      <c r="AB45" s="53">
        <v>1</v>
      </c>
      <c r="AF45" s="53">
        <f t="shared" si="6"/>
        <v>3</v>
      </c>
      <c r="AH45" s="71">
        <f t="shared" si="16"/>
        <v>0.023391812865497075</v>
      </c>
      <c r="AI45" s="66"/>
      <c r="AJ45" s="66"/>
      <c r="AQ45" s="53">
        <f t="shared" si="7"/>
        <v>0</v>
      </c>
      <c r="AX45" s="53">
        <f t="shared" si="8"/>
        <v>0</v>
      </c>
      <c r="BG45" s="53">
        <f t="shared" si="9"/>
        <v>0</v>
      </c>
      <c r="BS45" s="53">
        <f t="shared" si="10"/>
        <v>0</v>
      </c>
      <c r="BY45" s="53">
        <v>1</v>
      </c>
      <c r="BZ45" s="53">
        <f t="shared" si="11"/>
        <v>1</v>
      </c>
      <c r="CB45" s="71">
        <f t="shared" si="15"/>
        <v>0.009295408068414203</v>
      </c>
      <c r="CI45" s="53">
        <f t="shared" si="12"/>
        <v>0</v>
      </c>
      <c r="CK45" s="66">
        <f aca="true" t="shared" si="17" ref="CK45:CK69">100*(BG45+CI45)/($BG$169+$CI$169)</f>
        <v>0</v>
      </c>
      <c r="CL45" s="66"/>
      <c r="CM45" s="66"/>
      <c r="DC45" s="53">
        <v>1</v>
      </c>
      <c r="DR45" s="53">
        <v>1</v>
      </c>
      <c r="DS45" s="53">
        <v>1</v>
      </c>
      <c r="DT45" s="53">
        <v>1</v>
      </c>
      <c r="DU45" s="53">
        <v>1</v>
      </c>
      <c r="DV45" s="66"/>
      <c r="EB45" s="53">
        <v>1</v>
      </c>
      <c r="EC45" s="53">
        <v>1</v>
      </c>
      <c r="EE45" s="53">
        <v>1</v>
      </c>
    </row>
    <row r="46" spans="4:126" ht="12.75">
      <c r="D46" s="53" t="s">
        <v>133</v>
      </c>
      <c r="E46" s="53">
        <v>0</v>
      </c>
      <c r="J46" s="53">
        <v>1</v>
      </c>
      <c r="K46" s="53">
        <f t="shared" si="4"/>
        <v>1</v>
      </c>
      <c r="R46" s="53">
        <f t="shared" si="5"/>
        <v>0</v>
      </c>
      <c r="Y46" s="53">
        <f t="shared" si="0"/>
        <v>0</v>
      </c>
      <c r="AA46" s="53">
        <v>1</v>
      </c>
      <c r="AF46" s="53">
        <f t="shared" si="6"/>
        <v>1</v>
      </c>
      <c r="AH46" s="71">
        <f t="shared" si="16"/>
        <v>0.015594541910331383</v>
      </c>
      <c r="AI46" s="66"/>
      <c r="AJ46" s="66"/>
      <c r="AQ46" s="53">
        <f t="shared" si="7"/>
        <v>0</v>
      </c>
      <c r="AU46" s="53">
        <v>1</v>
      </c>
      <c r="AX46" s="53">
        <f t="shared" si="8"/>
        <v>1</v>
      </c>
      <c r="BG46" s="53">
        <f t="shared" si="9"/>
        <v>0</v>
      </c>
      <c r="BS46" s="53">
        <f t="shared" si="10"/>
        <v>0</v>
      </c>
      <c r="BZ46" s="53">
        <f t="shared" si="11"/>
        <v>0</v>
      </c>
      <c r="CB46" s="71">
        <f t="shared" si="15"/>
        <v>0.009295408068414203</v>
      </c>
      <c r="CI46" s="53">
        <f t="shared" si="12"/>
        <v>0</v>
      </c>
      <c r="CK46" s="66">
        <f t="shared" si="17"/>
        <v>0</v>
      </c>
      <c r="CL46" s="66"/>
      <c r="CM46" s="66"/>
      <c r="DV46" s="66"/>
    </row>
    <row r="47" spans="4:126" ht="12.75">
      <c r="D47" s="53" t="s">
        <v>128</v>
      </c>
      <c r="E47" s="53">
        <v>0</v>
      </c>
      <c r="I47" s="53">
        <v>2</v>
      </c>
      <c r="K47" s="53">
        <f t="shared" si="4"/>
        <v>2</v>
      </c>
      <c r="R47" s="53">
        <f t="shared" si="5"/>
        <v>0</v>
      </c>
      <c r="Y47" s="53">
        <f t="shared" si="0"/>
        <v>0</v>
      </c>
      <c r="AF47" s="53">
        <f t="shared" si="6"/>
        <v>0</v>
      </c>
      <c r="AH47" s="71">
        <f t="shared" si="16"/>
        <v>0.015594541910331383</v>
      </c>
      <c r="AI47" s="66"/>
      <c r="AJ47" s="66"/>
      <c r="AQ47" s="53">
        <f t="shared" si="7"/>
        <v>0</v>
      </c>
      <c r="AX47" s="53">
        <f t="shared" si="8"/>
        <v>0</v>
      </c>
      <c r="BG47" s="53">
        <f t="shared" si="9"/>
        <v>0</v>
      </c>
      <c r="BS47" s="53">
        <f t="shared" si="10"/>
        <v>0</v>
      </c>
      <c r="BZ47" s="53">
        <f t="shared" si="11"/>
        <v>0</v>
      </c>
      <c r="CB47" s="71">
        <f t="shared" si="15"/>
        <v>0</v>
      </c>
      <c r="CI47" s="53">
        <f t="shared" si="12"/>
        <v>0</v>
      </c>
      <c r="CK47" s="66">
        <f t="shared" si="17"/>
        <v>0</v>
      </c>
      <c r="CL47" s="66"/>
      <c r="CM47" s="66"/>
      <c r="DK47" s="53">
        <v>1</v>
      </c>
      <c r="DV47" s="66"/>
    </row>
    <row r="48" spans="4:126" ht="12.75">
      <c r="D48" s="53" t="s">
        <v>134</v>
      </c>
      <c r="E48" s="53">
        <v>0</v>
      </c>
      <c r="J48" s="53">
        <v>2</v>
      </c>
      <c r="K48" s="53">
        <f t="shared" si="4"/>
        <v>2</v>
      </c>
      <c r="R48" s="53">
        <f t="shared" si="5"/>
        <v>0</v>
      </c>
      <c r="Y48" s="53">
        <f t="shared" si="0"/>
        <v>0</v>
      </c>
      <c r="AF48" s="53">
        <f t="shared" si="6"/>
        <v>0</v>
      </c>
      <c r="AH48" s="71">
        <f t="shared" si="16"/>
        <v>0.015594541910331383</v>
      </c>
      <c r="AI48" s="66"/>
      <c r="AJ48" s="66"/>
      <c r="AQ48" s="53">
        <f t="shared" si="7"/>
        <v>0</v>
      </c>
      <c r="AX48" s="53">
        <f t="shared" si="8"/>
        <v>0</v>
      </c>
      <c r="BG48" s="53">
        <f t="shared" si="9"/>
        <v>0</v>
      </c>
      <c r="BS48" s="53">
        <f t="shared" si="10"/>
        <v>0</v>
      </c>
      <c r="BZ48" s="53">
        <f t="shared" si="11"/>
        <v>0</v>
      </c>
      <c r="CB48" s="71">
        <f t="shared" si="15"/>
        <v>0</v>
      </c>
      <c r="CI48" s="53">
        <f t="shared" si="12"/>
        <v>0</v>
      </c>
      <c r="CK48" s="66">
        <f t="shared" si="17"/>
        <v>0</v>
      </c>
      <c r="CL48" s="66"/>
      <c r="CM48" s="66"/>
      <c r="DV48" s="66"/>
    </row>
    <row r="49" spans="3:126" ht="12.75">
      <c r="C49" s="53" t="s">
        <v>212</v>
      </c>
      <c r="D49" s="53" t="s">
        <v>213</v>
      </c>
      <c r="E49" s="53">
        <v>4</v>
      </c>
      <c r="K49" s="53">
        <f t="shared" si="4"/>
        <v>0</v>
      </c>
      <c r="R49" s="53">
        <f t="shared" si="5"/>
        <v>0</v>
      </c>
      <c r="Y49" s="53">
        <f t="shared" si="0"/>
        <v>0</v>
      </c>
      <c r="AA49" s="53">
        <v>1</v>
      </c>
      <c r="AF49" s="53">
        <f t="shared" si="6"/>
        <v>1</v>
      </c>
      <c r="AH49" s="71">
        <f t="shared" si="16"/>
        <v>0.007797270955165692</v>
      </c>
      <c r="AI49" s="66"/>
      <c r="AJ49" s="66"/>
      <c r="AM49" s="53">
        <v>1</v>
      </c>
      <c r="AN49" s="53">
        <v>1</v>
      </c>
      <c r="AQ49" s="53">
        <f t="shared" si="7"/>
        <v>2</v>
      </c>
      <c r="AX49" s="53">
        <f t="shared" si="8"/>
        <v>0</v>
      </c>
      <c r="BG49" s="53">
        <f t="shared" si="9"/>
        <v>0</v>
      </c>
      <c r="BN49" s="53">
        <v>1</v>
      </c>
      <c r="BP49" s="53">
        <v>1</v>
      </c>
      <c r="BQ49" s="53">
        <v>1</v>
      </c>
      <c r="BS49" s="53">
        <f t="shared" si="10"/>
        <v>3</v>
      </c>
      <c r="BU49" s="53">
        <v>4</v>
      </c>
      <c r="BV49" s="53">
        <v>4</v>
      </c>
      <c r="BW49" s="53">
        <v>5</v>
      </c>
      <c r="BZ49" s="53">
        <f t="shared" si="11"/>
        <v>13</v>
      </c>
      <c r="CB49" s="71">
        <f t="shared" si="15"/>
        <v>0.16731734523145567</v>
      </c>
      <c r="CI49" s="53">
        <f t="shared" si="12"/>
        <v>0</v>
      </c>
      <c r="CK49" s="66">
        <f t="shared" si="17"/>
        <v>0</v>
      </c>
      <c r="CL49" s="66"/>
      <c r="CM49" s="66"/>
      <c r="CQ49" s="53">
        <v>2</v>
      </c>
      <c r="CS49" s="53">
        <v>1</v>
      </c>
      <c r="CY49" s="53">
        <v>1</v>
      </c>
      <c r="CZ49" s="53">
        <v>1</v>
      </c>
      <c r="DB49" s="53">
        <v>2</v>
      </c>
      <c r="DV49" s="66"/>
    </row>
    <row r="50" spans="4:135" ht="12.75">
      <c r="D50" s="53" t="s">
        <v>278</v>
      </c>
      <c r="E50" s="53">
        <v>4</v>
      </c>
      <c r="K50" s="53">
        <f t="shared" si="4"/>
        <v>0</v>
      </c>
      <c r="R50" s="53">
        <f t="shared" si="5"/>
        <v>0</v>
      </c>
      <c r="Y50" s="53">
        <f t="shared" si="0"/>
        <v>0</v>
      </c>
      <c r="AF50" s="53">
        <f t="shared" si="6"/>
        <v>0</v>
      </c>
      <c r="AH50" s="71">
        <f t="shared" si="16"/>
        <v>0</v>
      </c>
      <c r="AI50" s="66"/>
      <c r="AJ50" s="66"/>
      <c r="AL50" s="53">
        <v>1</v>
      </c>
      <c r="AQ50" s="53">
        <f t="shared" si="7"/>
        <v>1</v>
      </c>
      <c r="AS50" s="53">
        <v>1</v>
      </c>
      <c r="AX50" s="53">
        <f t="shared" si="8"/>
        <v>1</v>
      </c>
      <c r="BD50" s="53">
        <v>1</v>
      </c>
      <c r="BG50" s="53">
        <f t="shared" si="9"/>
        <v>1</v>
      </c>
      <c r="BS50" s="53">
        <f t="shared" si="10"/>
        <v>0</v>
      </c>
      <c r="BX50" s="53">
        <v>1</v>
      </c>
      <c r="BZ50" s="53">
        <f t="shared" si="11"/>
        <v>1</v>
      </c>
      <c r="CB50" s="71">
        <f t="shared" si="15"/>
        <v>0.02788622420524261</v>
      </c>
      <c r="CI50" s="53">
        <f t="shared" si="12"/>
        <v>0</v>
      </c>
      <c r="CK50" s="66">
        <f t="shared" si="17"/>
        <v>0.01716148961729878</v>
      </c>
      <c r="CL50" s="66"/>
      <c r="CM50" s="66"/>
      <c r="DT50" s="53">
        <v>1</v>
      </c>
      <c r="DU50" s="53">
        <v>1</v>
      </c>
      <c r="DV50" s="66"/>
      <c r="EA50" s="53">
        <v>1</v>
      </c>
      <c r="EB50" s="53">
        <v>1</v>
      </c>
      <c r="ED50" s="53">
        <v>1</v>
      </c>
      <c r="EE50" s="53">
        <v>1</v>
      </c>
    </row>
    <row r="51" spans="3:126" ht="12.75">
      <c r="C51" s="53" t="s">
        <v>286</v>
      </c>
      <c r="D51" s="53" t="s">
        <v>287</v>
      </c>
      <c r="E51" s="53">
        <v>4</v>
      </c>
      <c r="K51" s="53">
        <f t="shared" si="4"/>
        <v>0</v>
      </c>
      <c r="R51" s="53">
        <f t="shared" si="5"/>
        <v>0</v>
      </c>
      <c r="Y51" s="53">
        <f t="shared" si="0"/>
        <v>0</v>
      </c>
      <c r="AF51" s="53">
        <f t="shared" si="6"/>
        <v>0</v>
      </c>
      <c r="AH51" s="71">
        <f t="shared" si="16"/>
        <v>0</v>
      </c>
      <c r="AI51" s="66"/>
      <c r="AJ51" s="66"/>
      <c r="AM51" s="53">
        <v>1</v>
      </c>
      <c r="AO51" s="53">
        <v>1</v>
      </c>
      <c r="AP51" s="53">
        <v>1</v>
      </c>
      <c r="AQ51" s="53">
        <f t="shared" si="7"/>
        <v>3</v>
      </c>
      <c r="AS51" s="53">
        <v>1</v>
      </c>
      <c r="AX51" s="53">
        <f t="shared" si="8"/>
        <v>1</v>
      </c>
      <c r="BG51" s="53">
        <f t="shared" si="9"/>
        <v>0</v>
      </c>
      <c r="BS51" s="53">
        <f t="shared" si="10"/>
        <v>0</v>
      </c>
      <c r="BZ51" s="53">
        <f t="shared" si="11"/>
        <v>0</v>
      </c>
      <c r="CB51" s="71">
        <f t="shared" si="15"/>
        <v>0.03718163227365681</v>
      </c>
      <c r="CH51" s="53">
        <v>1</v>
      </c>
      <c r="CI51" s="53">
        <f t="shared" si="12"/>
        <v>1</v>
      </c>
      <c r="CK51" s="66">
        <f t="shared" si="17"/>
        <v>0.01716148961729878</v>
      </c>
      <c r="CL51" s="66"/>
      <c r="CM51" s="66"/>
      <c r="DV51" s="66"/>
    </row>
    <row r="52" spans="4:126" ht="12.75">
      <c r="D52" s="53" t="s">
        <v>524</v>
      </c>
      <c r="E52" s="53">
        <v>2</v>
      </c>
      <c r="K52" s="53">
        <f t="shared" si="4"/>
        <v>0</v>
      </c>
      <c r="R52" s="53">
        <f t="shared" si="5"/>
        <v>0</v>
      </c>
      <c r="Y52" s="53">
        <f t="shared" si="0"/>
        <v>0</v>
      </c>
      <c r="AF52" s="53">
        <f t="shared" si="6"/>
        <v>0</v>
      </c>
      <c r="AH52" s="71">
        <f t="shared" si="16"/>
        <v>0</v>
      </c>
      <c r="AI52" s="66"/>
      <c r="AJ52" s="66"/>
      <c r="CB52" s="71"/>
      <c r="CK52" s="66"/>
      <c r="CL52" s="66"/>
      <c r="CM52" s="66"/>
      <c r="CY52" s="53">
        <v>1</v>
      </c>
      <c r="DV52" s="66"/>
    </row>
    <row r="53" spans="3:126" ht="12.75">
      <c r="C53" s="53" t="s">
        <v>315</v>
      </c>
      <c r="D53" s="53" t="s">
        <v>316</v>
      </c>
      <c r="E53" s="53">
        <v>2</v>
      </c>
      <c r="K53" s="53">
        <f t="shared" si="4"/>
        <v>0</v>
      </c>
      <c r="R53" s="53">
        <f t="shared" si="5"/>
        <v>0</v>
      </c>
      <c r="Y53" s="53">
        <f t="shared" si="0"/>
        <v>0</v>
      </c>
      <c r="AF53" s="53">
        <f t="shared" si="6"/>
        <v>0</v>
      </c>
      <c r="AH53" s="71">
        <f t="shared" si="16"/>
        <v>0</v>
      </c>
      <c r="AI53" s="66"/>
      <c r="AJ53" s="66"/>
      <c r="AQ53" s="53">
        <f t="shared" si="7"/>
        <v>0</v>
      </c>
      <c r="AX53" s="53">
        <f t="shared" si="8"/>
        <v>0</v>
      </c>
      <c r="BF53" s="53">
        <v>4</v>
      </c>
      <c r="BG53" s="53">
        <f t="shared" si="9"/>
        <v>4</v>
      </c>
      <c r="BO53" s="53">
        <v>1</v>
      </c>
      <c r="BS53" s="53">
        <f t="shared" si="10"/>
        <v>1</v>
      </c>
      <c r="BX53" s="53">
        <v>2</v>
      </c>
      <c r="BZ53" s="53">
        <f t="shared" si="11"/>
        <v>2</v>
      </c>
      <c r="CB53" s="71">
        <f>100*SUM($AL53:$AP53,$AS53:$AW53,$BN53:$BR53,$BU53:$BY53)/SUM($AQ$169,$AX$169,$BS$169,$BZ$169)</f>
        <v>0.02788622420524261</v>
      </c>
      <c r="CI53" s="53">
        <f t="shared" si="12"/>
        <v>0</v>
      </c>
      <c r="CK53" s="66">
        <f t="shared" si="17"/>
        <v>0.06864595846919512</v>
      </c>
      <c r="CL53" s="66"/>
      <c r="CM53" s="66"/>
      <c r="DK53" s="53">
        <v>1</v>
      </c>
      <c r="DQ53" s="53">
        <v>1</v>
      </c>
      <c r="DR53" s="53">
        <v>3</v>
      </c>
      <c r="DV53" s="66"/>
    </row>
    <row r="54" spans="4:126" ht="12.75">
      <c r="D54" s="53" t="s">
        <v>527</v>
      </c>
      <c r="E54" s="53">
        <v>1</v>
      </c>
      <c r="K54" s="53">
        <f t="shared" si="4"/>
        <v>0</v>
      </c>
      <c r="R54" s="53">
        <f t="shared" si="5"/>
        <v>0</v>
      </c>
      <c r="Y54" s="53">
        <f t="shared" si="0"/>
        <v>0</v>
      </c>
      <c r="AF54" s="53">
        <f t="shared" si="6"/>
        <v>0</v>
      </c>
      <c r="AH54" s="71">
        <f t="shared" si="16"/>
        <v>0</v>
      </c>
      <c r="AI54" s="66"/>
      <c r="AJ54" s="66"/>
      <c r="CB54" s="71"/>
      <c r="CK54" s="66"/>
      <c r="CL54" s="66"/>
      <c r="CM54" s="66"/>
      <c r="DL54" s="53">
        <v>2</v>
      </c>
      <c r="DV54" s="66"/>
    </row>
    <row r="55" spans="3:126" ht="12.75">
      <c r="C55" s="53" t="s">
        <v>214</v>
      </c>
      <c r="D55" s="53" t="s">
        <v>215</v>
      </c>
      <c r="E55" s="53">
        <v>2</v>
      </c>
      <c r="K55" s="53">
        <f t="shared" si="4"/>
        <v>0</v>
      </c>
      <c r="R55" s="53">
        <f t="shared" si="5"/>
        <v>0</v>
      </c>
      <c r="Y55" s="53">
        <f t="shared" si="0"/>
        <v>0</v>
      </c>
      <c r="AB55" s="53">
        <v>1</v>
      </c>
      <c r="AF55" s="53">
        <f t="shared" si="6"/>
        <v>1</v>
      </c>
      <c r="AH55" s="71">
        <f t="shared" si="16"/>
        <v>0.007797270955165692</v>
      </c>
      <c r="AI55" s="66"/>
      <c r="AJ55" s="66"/>
      <c r="AQ55" s="53">
        <f t="shared" si="7"/>
        <v>0</v>
      </c>
      <c r="AX55" s="53">
        <f t="shared" si="8"/>
        <v>0</v>
      </c>
      <c r="BG55" s="53">
        <f t="shared" si="9"/>
        <v>0</v>
      </c>
      <c r="BS55" s="53">
        <f t="shared" si="10"/>
        <v>0</v>
      </c>
      <c r="BZ55" s="53">
        <f t="shared" si="11"/>
        <v>0</v>
      </c>
      <c r="CB55" s="71">
        <f aca="true" t="shared" si="18" ref="CB55:CB65">100*SUM($AL55:$AP55,$AS55:$AW55,$BN55:$BR55,$BU55:$BY55)/SUM($AQ$169,$AX$169,$BS$169,$BZ$169)</f>
        <v>0</v>
      </c>
      <c r="CI55" s="53">
        <f t="shared" si="12"/>
        <v>0</v>
      </c>
      <c r="CK55" s="66">
        <f t="shared" si="17"/>
        <v>0</v>
      </c>
      <c r="CL55" s="66"/>
      <c r="CM55" s="66"/>
      <c r="DV55" s="66"/>
    </row>
    <row r="56" spans="4:126" ht="12.75">
      <c r="D56" s="53" t="s">
        <v>302</v>
      </c>
      <c r="E56" s="53">
        <v>2</v>
      </c>
      <c r="K56" s="53">
        <f t="shared" si="4"/>
        <v>0</v>
      </c>
      <c r="R56" s="53">
        <f t="shared" si="5"/>
        <v>0</v>
      </c>
      <c r="Y56" s="53">
        <f t="shared" si="0"/>
        <v>0</v>
      </c>
      <c r="AF56" s="53">
        <f t="shared" si="6"/>
        <v>0</v>
      </c>
      <c r="AH56" s="71">
        <f t="shared" si="16"/>
        <v>0</v>
      </c>
      <c r="AI56" s="66"/>
      <c r="AJ56" s="66"/>
      <c r="AQ56" s="53">
        <f t="shared" si="7"/>
        <v>0</v>
      </c>
      <c r="AU56" s="53">
        <v>3</v>
      </c>
      <c r="AX56" s="53">
        <f t="shared" si="8"/>
        <v>3</v>
      </c>
      <c r="BG56" s="53">
        <f t="shared" si="9"/>
        <v>0</v>
      </c>
      <c r="BS56" s="53">
        <f t="shared" si="10"/>
        <v>0</v>
      </c>
      <c r="BZ56" s="53">
        <f t="shared" si="11"/>
        <v>0</v>
      </c>
      <c r="CB56" s="71">
        <f t="shared" si="18"/>
        <v>0.02788622420524261</v>
      </c>
      <c r="CI56" s="53">
        <f t="shared" si="12"/>
        <v>0</v>
      </c>
      <c r="CK56" s="66">
        <f t="shared" si="17"/>
        <v>0</v>
      </c>
      <c r="CL56" s="66"/>
      <c r="CM56" s="66"/>
      <c r="CZ56" s="53">
        <v>1</v>
      </c>
      <c r="DV56" s="66"/>
    </row>
    <row r="57" spans="3:135" ht="12.75">
      <c r="C57" s="53" t="s">
        <v>172</v>
      </c>
      <c r="D57" s="53" t="s">
        <v>173</v>
      </c>
      <c r="E57" s="53">
        <v>6</v>
      </c>
      <c r="K57" s="53">
        <f t="shared" si="4"/>
        <v>0</v>
      </c>
      <c r="R57" s="53">
        <f t="shared" si="5"/>
        <v>0</v>
      </c>
      <c r="T57" s="53">
        <v>1</v>
      </c>
      <c r="U57" s="53">
        <v>6</v>
      </c>
      <c r="V57" s="53">
        <v>9</v>
      </c>
      <c r="W57" s="53">
        <v>13</v>
      </c>
      <c r="Y57" s="53">
        <f t="shared" si="0"/>
        <v>29</v>
      </c>
      <c r="AF57" s="53">
        <f t="shared" si="6"/>
        <v>0</v>
      </c>
      <c r="AH57" s="71">
        <f t="shared" si="16"/>
        <v>0.22612085769980506</v>
      </c>
      <c r="AI57" s="66"/>
      <c r="AJ57" s="66"/>
      <c r="AM57" s="53">
        <v>2</v>
      </c>
      <c r="AN57" s="53">
        <v>1</v>
      </c>
      <c r="AO57" s="53">
        <v>1</v>
      </c>
      <c r="AQ57" s="53">
        <f t="shared" si="7"/>
        <v>4</v>
      </c>
      <c r="AS57" s="53">
        <v>12</v>
      </c>
      <c r="AT57" s="53">
        <v>5</v>
      </c>
      <c r="AU57" s="53">
        <v>6</v>
      </c>
      <c r="AV57" s="53">
        <v>24</v>
      </c>
      <c r="AX57" s="53">
        <f t="shared" si="8"/>
        <v>47</v>
      </c>
      <c r="BB57" s="53">
        <v>1</v>
      </c>
      <c r="BG57" s="53">
        <f t="shared" si="9"/>
        <v>1</v>
      </c>
      <c r="BP57" s="53">
        <v>2</v>
      </c>
      <c r="BS57" s="53">
        <f t="shared" si="10"/>
        <v>2</v>
      </c>
      <c r="BZ57" s="53">
        <f t="shared" si="11"/>
        <v>0</v>
      </c>
      <c r="CB57" s="71">
        <f t="shared" si="18"/>
        <v>0.4926566276259528</v>
      </c>
      <c r="CH57" s="53">
        <v>1</v>
      </c>
      <c r="CI57" s="53">
        <f t="shared" si="12"/>
        <v>1</v>
      </c>
      <c r="CK57" s="66">
        <f t="shared" si="17"/>
        <v>0.03432297923459756</v>
      </c>
      <c r="CL57" s="66"/>
      <c r="CM57" s="66"/>
      <c r="CY57" s="53">
        <v>2</v>
      </c>
      <c r="DA57" s="53">
        <v>1</v>
      </c>
      <c r="DB57" s="53">
        <v>1</v>
      </c>
      <c r="DJ57" s="53">
        <v>1</v>
      </c>
      <c r="DK57" s="53">
        <v>1</v>
      </c>
      <c r="DL57" s="53">
        <v>2</v>
      </c>
      <c r="DQ57" s="53">
        <v>7</v>
      </c>
      <c r="DR57" s="53">
        <v>7</v>
      </c>
      <c r="DS57" s="53">
        <v>4</v>
      </c>
      <c r="DV57" s="66"/>
      <c r="EA57" s="53">
        <v>8</v>
      </c>
      <c r="EB57" s="53">
        <v>4</v>
      </c>
      <c r="EC57" s="53">
        <v>3</v>
      </c>
      <c r="ED57" s="53">
        <v>2</v>
      </c>
      <c r="EE57" s="53">
        <v>1</v>
      </c>
    </row>
    <row r="58" spans="3:126" ht="12.75">
      <c r="C58" s="53" t="s">
        <v>204</v>
      </c>
      <c r="D58" s="53" t="s">
        <v>205</v>
      </c>
      <c r="E58" s="53">
        <v>0</v>
      </c>
      <c r="K58" s="53">
        <f t="shared" si="4"/>
        <v>0</v>
      </c>
      <c r="R58" s="53">
        <f t="shared" si="5"/>
        <v>0</v>
      </c>
      <c r="W58" s="53">
        <v>2</v>
      </c>
      <c r="Y58" s="53">
        <f t="shared" si="0"/>
        <v>2</v>
      </c>
      <c r="AA58" s="53">
        <v>1</v>
      </c>
      <c r="AF58" s="53">
        <f t="shared" si="6"/>
        <v>1</v>
      </c>
      <c r="AH58" s="71">
        <f t="shared" si="16"/>
        <v>0.023391812865497075</v>
      </c>
      <c r="AI58" s="66"/>
      <c r="AJ58" s="66"/>
      <c r="AQ58" s="53">
        <f t="shared" si="7"/>
        <v>0</v>
      </c>
      <c r="AX58" s="53">
        <f t="shared" si="8"/>
        <v>0</v>
      </c>
      <c r="BG58" s="53">
        <f t="shared" si="9"/>
        <v>0</v>
      </c>
      <c r="BS58" s="53">
        <f t="shared" si="10"/>
        <v>0</v>
      </c>
      <c r="BZ58" s="53">
        <f t="shared" si="11"/>
        <v>0</v>
      </c>
      <c r="CB58" s="71">
        <f t="shared" si="18"/>
        <v>0</v>
      </c>
      <c r="CI58" s="53">
        <f t="shared" si="12"/>
        <v>0</v>
      </c>
      <c r="CK58" s="66">
        <f t="shared" si="17"/>
        <v>0</v>
      </c>
      <c r="CL58" s="66"/>
      <c r="CM58" s="66"/>
      <c r="DV58" s="66"/>
    </row>
    <row r="59" spans="3:135" ht="12.75">
      <c r="C59" s="53" t="s">
        <v>23</v>
      </c>
      <c r="D59" s="53" t="s">
        <v>24</v>
      </c>
      <c r="E59" s="53">
        <v>1</v>
      </c>
      <c r="F59" s="53">
        <v>8</v>
      </c>
      <c r="H59" s="53">
        <v>2</v>
      </c>
      <c r="I59" s="53">
        <v>2</v>
      </c>
      <c r="J59" s="53">
        <v>2</v>
      </c>
      <c r="K59" s="53">
        <f t="shared" si="4"/>
        <v>14</v>
      </c>
      <c r="M59" s="53">
        <v>5</v>
      </c>
      <c r="O59" s="53">
        <v>6</v>
      </c>
      <c r="P59" s="53">
        <v>4</v>
      </c>
      <c r="Q59" s="53">
        <v>7</v>
      </c>
      <c r="R59" s="53">
        <f t="shared" si="5"/>
        <v>22</v>
      </c>
      <c r="X59" s="53">
        <v>3</v>
      </c>
      <c r="Y59" s="53">
        <f t="shared" si="0"/>
        <v>3</v>
      </c>
      <c r="AA59" s="53">
        <v>9</v>
      </c>
      <c r="AB59" s="53">
        <v>2</v>
      </c>
      <c r="AC59" s="53">
        <v>6</v>
      </c>
      <c r="AD59" s="53">
        <v>1</v>
      </c>
      <c r="AE59" s="53">
        <v>2</v>
      </c>
      <c r="AF59" s="53">
        <f t="shared" si="6"/>
        <v>20</v>
      </c>
      <c r="AH59" s="71">
        <f t="shared" si="16"/>
        <v>0.4600389863547758</v>
      </c>
      <c r="AI59" s="66"/>
      <c r="AJ59" s="66"/>
      <c r="AL59" s="53">
        <v>2</v>
      </c>
      <c r="AM59" s="53">
        <v>1</v>
      </c>
      <c r="AN59" s="53">
        <v>12</v>
      </c>
      <c r="AO59" s="53">
        <v>6</v>
      </c>
      <c r="AP59" s="53">
        <v>4</v>
      </c>
      <c r="AQ59" s="53">
        <f t="shared" si="7"/>
        <v>25</v>
      </c>
      <c r="AS59" s="53">
        <v>1</v>
      </c>
      <c r="AT59" s="53">
        <v>2</v>
      </c>
      <c r="AU59" s="53">
        <v>7</v>
      </c>
      <c r="AV59" s="53">
        <v>1</v>
      </c>
      <c r="AW59" s="53">
        <v>4</v>
      </c>
      <c r="AX59" s="53">
        <f t="shared" si="8"/>
        <v>15</v>
      </c>
      <c r="BD59" s="53">
        <v>1</v>
      </c>
      <c r="BE59" s="53">
        <v>2</v>
      </c>
      <c r="BG59" s="53">
        <f t="shared" si="9"/>
        <v>3</v>
      </c>
      <c r="BN59" s="53">
        <v>6</v>
      </c>
      <c r="BO59" s="53">
        <v>3</v>
      </c>
      <c r="BP59" s="53">
        <v>8</v>
      </c>
      <c r="BQ59" s="53">
        <v>13</v>
      </c>
      <c r="BR59" s="53">
        <v>2</v>
      </c>
      <c r="BS59" s="53">
        <f t="shared" si="10"/>
        <v>32</v>
      </c>
      <c r="BU59" s="53">
        <v>9</v>
      </c>
      <c r="BV59" s="53">
        <v>3</v>
      </c>
      <c r="BW59" s="53">
        <v>5</v>
      </c>
      <c r="BX59" s="53">
        <v>7</v>
      </c>
      <c r="BY59" s="53">
        <v>7</v>
      </c>
      <c r="BZ59" s="53">
        <f t="shared" si="11"/>
        <v>31</v>
      </c>
      <c r="CB59" s="71">
        <f t="shared" si="18"/>
        <v>0.9574270310466629</v>
      </c>
      <c r="CD59" s="53">
        <v>10</v>
      </c>
      <c r="CI59" s="53">
        <f t="shared" si="12"/>
        <v>10</v>
      </c>
      <c r="CK59" s="66">
        <f t="shared" si="17"/>
        <v>0.22309936502488417</v>
      </c>
      <c r="CL59" s="66"/>
      <c r="CM59" s="66"/>
      <c r="CQ59" s="53">
        <v>3</v>
      </c>
      <c r="CS59" s="53">
        <v>3</v>
      </c>
      <c r="CT59" s="53">
        <v>4</v>
      </c>
      <c r="CY59" s="53">
        <v>6</v>
      </c>
      <c r="CZ59" s="53">
        <v>3</v>
      </c>
      <c r="DH59" s="53">
        <v>2</v>
      </c>
      <c r="DJ59" s="53">
        <v>1</v>
      </c>
      <c r="DR59" s="53">
        <v>1</v>
      </c>
      <c r="DT59" s="53">
        <v>3</v>
      </c>
      <c r="DV59" s="66"/>
      <c r="EA59" s="53">
        <v>1</v>
      </c>
      <c r="EB59" s="53">
        <v>4</v>
      </c>
      <c r="EC59" s="53">
        <v>2</v>
      </c>
      <c r="EE59" s="53">
        <v>3</v>
      </c>
    </row>
    <row r="60" spans="4:135" ht="12.75">
      <c r="D60" s="53" t="s">
        <v>174</v>
      </c>
      <c r="E60" s="53">
        <v>1</v>
      </c>
      <c r="K60" s="53">
        <f t="shared" si="4"/>
        <v>0</v>
      </c>
      <c r="R60" s="53">
        <f t="shared" si="5"/>
        <v>0</v>
      </c>
      <c r="T60" s="53">
        <v>1</v>
      </c>
      <c r="V60" s="53">
        <v>1</v>
      </c>
      <c r="W60" s="53">
        <v>4</v>
      </c>
      <c r="X60" s="53">
        <v>13</v>
      </c>
      <c r="Y60" s="53">
        <f t="shared" si="0"/>
        <v>19</v>
      </c>
      <c r="AA60" s="53">
        <v>2</v>
      </c>
      <c r="AB60" s="53">
        <v>1</v>
      </c>
      <c r="AC60" s="53">
        <v>1</v>
      </c>
      <c r="AD60" s="53">
        <v>1</v>
      </c>
      <c r="AE60" s="53">
        <v>2</v>
      </c>
      <c r="AF60" s="53">
        <f t="shared" si="6"/>
        <v>7</v>
      </c>
      <c r="AH60" s="71">
        <f t="shared" si="16"/>
        <v>0.20272904483430798</v>
      </c>
      <c r="AI60" s="66"/>
      <c r="AJ60" s="66"/>
      <c r="AL60" s="53">
        <v>3</v>
      </c>
      <c r="AM60" s="53">
        <v>7</v>
      </c>
      <c r="AN60" s="53">
        <v>12</v>
      </c>
      <c r="AO60" s="53">
        <v>8</v>
      </c>
      <c r="AP60" s="53">
        <v>2</v>
      </c>
      <c r="AQ60" s="53">
        <f t="shared" si="7"/>
        <v>32</v>
      </c>
      <c r="AS60" s="53">
        <v>3</v>
      </c>
      <c r="AT60" s="53">
        <v>2</v>
      </c>
      <c r="AU60" s="53">
        <v>9</v>
      </c>
      <c r="AV60" s="53">
        <v>3</v>
      </c>
      <c r="AW60" s="53">
        <v>13</v>
      </c>
      <c r="AX60" s="53">
        <f t="shared" si="8"/>
        <v>30</v>
      </c>
      <c r="BB60" s="53">
        <v>22</v>
      </c>
      <c r="BC60" s="53">
        <v>13</v>
      </c>
      <c r="BD60" s="53">
        <v>47</v>
      </c>
      <c r="BE60" s="53">
        <v>34</v>
      </c>
      <c r="BF60" s="53">
        <v>71</v>
      </c>
      <c r="BG60" s="53">
        <f t="shared" si="9"/>
        <v>187</v>
      </c>
      <c r="BN60" s="53">
        <v>12</v>
      </c>
      <c r="BO60" s="53">
        <v>6</v>
      </c>
      <c r="BP60" s="53">
        <v>23</v>
      </c>
      <c r="BQ60" s="53">
        <v>51</v>
      </c>
      <c r="BR60" s="53">
        <v>15</v>
      </c>
      <c r="BS60" s="53">
        <f t="shared" si="10"/>
        <v>107</v>
      </c>
      <c r="BU60" s="53">
        <v>19</v>
      </c>
      <c r="BV60" s="53">
        <v>18</v>
      </c>
      <c r="BW60" s="53">
        <v>2</v>
      </c>
      <c r="BX60" s="53">
        <v>7</v>
      </c>
      <c r="BY60" s="53">
        <v>12</v>
      </c>
      <c r="BZ60" s="53">
        <f t="shared" si="11"/>
        <v>58</v>
      </c>
      <c r="CB60" s="71">
        <f t="shared" si="18"/>
        <v>2.110057631530024</v>
      </c>
      <c r="CD60" s="53">
        <v>14</v>
      </c>
      <c r="CE60" s="53">
        <v>6</v>
      </c>
      <c r="CF60" s="53">
        <v>4</v>
      </c>
      <c r="CG60" s="53">
        <v>2</v>
      </c>
      <c r="CH60" s="53">
        <v>9</v>
      </c>
      <c r="CI60" s="53">
        <f t="shared" si="12"/>
        <v>35</v>
      </c>
      <c r="CK60" s="66">
        <f t="shared" si="17"/>
        <v>3.8098506950403297</v>
      </c>
      <c r="CL60" s="66"/>
      <c r="CM60" s="66"/>
      <c r="CP60" s="53">
        <v>3</v>
      </c>
      <c r="CQ60" s="53">
        <v>21</v>
      </c>
      <c r="CR60" s="53">
        <v>8</v>
      </c>
      <c r="CS60" s="53">
        <v>10</v>
      </c>
      <c r="CT60" s="53">
        <v>14</v>
      </c>
      <c r="CY60" s="53">
        <v>13</v>
      </c>
      <c r="DB60" s="53">
        <v>5</v>
      </c>
      <c r="DC60" s="53">
        <v>3</v>
      </c>
      <c r="DH60" s="53">
        <v>3</v>
      </c>
      <c r="DI60" s="53">
        <v>14</v>
      </c>
      <c r="DJ60" s="53">
        <v>17</v>
      </c>
      <c r="DK60" s="53">
        <v>25</v>
      </c>
      <c r="DL60" s="53">
        <v>4</v>
      </c>
      <c r="DQ60" s="53">
        <v>5</v>
      </c>
      <c r="DR60" s="53">
        <v>7</v>
      </c>
      <c r="DS60" s="53">
        <v>11</v>
      </c>
      <c r="DT60" s="53">
        <v>9</v>
      </c>
      <c r="DU60" s="53">
        <v>7</v>
      </c>
      <c r="DV60" s="66"/>
      <c r="EA60" s="53">
        <v>5</v>
      </c>
      <c r="EB60" s="53">
        <v>26</v>
      </c>
      <c r="EC60" s="53">
        <v>6</v>
      </c>
      <c r="ED60" s="53">
        <v>11</v>
      </c>
      <c r="EE60" s="53">
        <v>13</v>
      </c>
    </row>
    <row r="61" spans="4:126" ht="12.75">
      <c r="D61" s="53" t="s">
        <v>294</v>
      </c>
      <c r="E61" s="53">
        <v>1</v>
      </c>
      <c r="K61" s="53">
        <f t="shared" si="4"/>
        <v>0</v>
      </c>
      <c r="R61" s="53">
        <f t="shared" si="5"/>
        <v>0</v>
      </c>
      <c r="Y61" s="53">
        <f t="shared" si="0"/>
        <v>0</v>
      </c>
      <c r="AF61" s="53">
        <f t="shared" si="6"/>
        <v>0</v>
      </c>
      <c r="AH61" s="71">
        <f t="shared" si="16"/>
        <v>0</v>
      </c>
      <c r="AI61" s="66"/>
      <c r="AJ61" s="66"/>
      <c r="AO61" s="53">
        <v>1</v>
      </c>
      <c r="AQ61" s="53">
        <f t="shared" si="7"/>
        <v>1</v>
      </c>
      <c r="AX61" s="53">
        <f t="shared" si="8"/>
        <v>0</v>
      </c>
      <c r="BG61" s="53">
        <f t="shared" si="9"/>
        <v>0</v>
      </c>
      <c r="BS61" s="53">
        <f t="shared" si="10"/>
        <v>0</v>
      </c>
      <c r="BZ61" s="53">
        <f t="shared" si="11"/>
        <v>0</v>
      </c>
      <c r="CB61" s="71">
        <f t="shared" si="18"/>
        <v>0.009295408068414203</v>
      </c>
      <c r="CI61" s="53">
        <f t="shared" si="12"/>
        <v>0</v>
      </c>
      <c r="CK61" s="66">
        <f t="shared" si="17"/>
        <v>0</v>
      </c>
      <c r="CL61" s="66"/>
      <c r="CM61" s="66"/>
      <c r="DV61" s="66"/>
    </row>
    <row r="62" spans="3:135" ht="12.75">
      <c r="C62" s="53" t="s">
        <v>25</v>
      </c>
      <c r="D62" s="53" t="s">
        <v>28</v>
      </c>
      <c r="E62" s="53">
        <v>1</v>
      </c>
      <c r="K62" s="53">
        <f t="shared" si="4"/>
        <v>0</v>
      </c>
      <c r="M62" s="53">
        <v>4</v>
      </c>
      <c r="N62" s="53">
        <v>6</v>
      </c>
      <c r="O62" s="53">
        <v>7</v>
      </c>
      <c r="P62" s="53">
        <v>1</v>
      </c>
      <c r="Q62" s="53">
        <v>18</v>
      </c>
      <c r="R62" s="53">
        <f t="shared" si="5"/>
        <v>36</v>
      </c>
      <c r="T62" s="53">
        <v>5</v>
      </c>
      <c r="U62" s="53">
        <v>3</v>
      </c>
      <c r="V62" s="53">
        <v>1</v>
      </c>
      <c r="W62" s="53">
        <v>1</v>
      </c>
      <c r="X62" s="53">
        <v>2</v>
      </c>
      <c r="Y62" s="53">
        <f t="shared" si="0"/>
        <v>12</v>
      </c>
      <c r="AE62" s="53">
        <v>1</v>
      </c>
      <c r="AF62" s="53">
        <f t="shared" si="6"/>
        <v>1</v>
      </c>
      <c r="AH62" s="71">
        <f t="shared" si="16"/>
        <v>0.3820662768031189</v>
      </c>
      <c r="AI62" s="66"/>
      <c r="AJ62" s="66"/>
      <c r="AM62" s="53">
        <v>2</v>
      </c>
      <c r="AQ62" s="53">
        <f t="shared" si="7"/>
        <v>2</v>
      </c>
      <c r="AX62" s="53">
        <f t="shared" si="8"/>
        <v>0</v>
      </c>
      <c r="BC62" s="53">
        <v>2</v>
      </c>
      <c r="BF62" s="53">
        <v>1</v>
      </c>
      <c r="BG62" s="53">
        <f t="shared" si="9"/>
        <v>3</v>
      </c>
      <c r="BP62" s="53">
        <v>1</v>
      </c>
      <c r="BQ62" s="53">
        <v>2</v>
      </c>
      <c r="BS62" s="53">
        <f t="shared" si="10"/>
        <v>3</v>
      </c>
      <c r="BX62" s="53">
        <v>1</v>
      </c>
      <c r="BZ62" s="53">
        <f t="shared" si="11"/>
        <v>1</v>
      </c>
      <c r="CB62" s="71">
        <f t="shared" si="18"/>
        <v>0.05577244841048522</v>
      </c>
      <c r="CE62" s="53">
        <v>2</v>
      </c>
      <c r="CF62" s="53">
        <v>1</v>
      </c>
      <c r="CH62" s="53">
        <v>1</v>
      </c>
      <c r="CI62" s="53">
        <f t="shared" si="12"/>
        <v>4</v>
      </c>
      <c r="CK62" s="66">
        <f t="shared" si="17"/>
        <v>0.12013042732109147</v>
      </c>
      <c r="CL62" s="66"/>
      <c r="CM62" s="66"/>
      <c r="CP62" s="53">
        <v>3</v>
      </c>
      <c r="CQ62" s="53">
        <v>1</v>
      </c>
      <c r="CR62" s="53">
        <v>4</v>
      </c>
      <c r="CS62" s="53">
        <v>1</v>
      </c>
      <c r="CY62" s="53">
        <v>4</v>
      </c>
      <c r="CZ62" s="53">
        <v>7</v>
      </c>
      <c r="DA62" s="53">
        <v>1</v>
      </c>
      <c r="DB62" s="53">
        <v>2</v>
      </c>
      <c r="DC62" s="53">
        <v>2</v>
      </c>
      <c r="DH62" s="53">
        <v>4</v>
      </c>
      <c r="DI62" s="53">
        <v>15</v>
      </c>
      <c r="DJ62" s="53">
        <v>2</v>
      </c>
      <c r="DK62" s="53">
        <v>1</v>
      </c>
      <c r="DL62" s="53">
        <v>2</v>
      </c>
      <c r="DQ62" s="53">
        <v>5</v>
      </c>
      <c r="DR62" s="53">
        <v>1</v>
      </c>
      <c r="DS62" s="53">
        <v>2</v>
      </c>
      <c r="DV62" s="66"/>
      <c r="EA62" s="53">
        <v>1</v>
      </c>
      <c r="EB62" s="53">
        <v>1</v>
      </c>
      <c r="EC62" s="53">
        <v>1</v>
      </c>
      <c r="ED62" s="53">
        <v>4</v>
      </c>
      <c r="EE62" s="53">
        <v>7</v>
      </c>
    </row>
    <row r="63" spans="4:126" ht="12.75">
      <c r="D63" s="53" t="s">
        <v>29</v>
      </c>
      <c r="E63" s="53">
        <v>0</v>
      </c>
      <c r="I63" s="53">
        <v>1</v>
      </c>
      <c r="K63" s="53">
        <f t="shared" si="4"/>
        <v>1</v>
      </c>
      <c r="O63" s="53">
        <v>1</v>
      </c>
      <c r="R63" s="53">
        <f t="shared" si="5"/>
        <v>1</v>
      </c>
      <c r="Y63" s="53">
        <f t="shared" si="0"/>
        <v>0</v>
      </c>
      <c r="AA63" s="53">
        <v>2</v>
      </c>
      <c r="AC63" s="53">
        <v>1</v>
      </c>
      <c r="AD63" s="53">
        <v>2</v>
      </c>
      <c r="AF63" s="53">
        <f t="shared" si="6"/>
        <v>5</v>
      </c>
      <c r="AH63" s="71">
        <f t="shared" si="16"/>
        <v>0.05458089668615984</v>
      </c>
      <c r="AI63" s="66"/>
      <c r="AJ63" s="66"/>
      <c r="AQ63" s="53">
        <f t="shared" si="7"/>
        <v>0</v>
      </c>
      <c r="AS63" s="53">
        <v>3</v>
      </c>
      <c r="AX63" s="53">
        <f t="shared" si="8"/>
        <v>3</v>
      </c>
      <c r="BG63" s="53">
        <f t="shared" si="9"/>
        <v>0</v>
      </c>
      <c r="BS63" s="53">
        <f t="shared" si="10"/>
        <v>0</v>
      </c>
      <c r="BZ63" s="53">
        <f t="shared" si="11"/>
        <v>0</v>
      </c>
      <c r="CB63" s="71">
        <f t="shared" si="18"/>
        <v>0.02788622420524261</v>
      </c>
      <c r="CI63" s="53">
        <f t="shared" si="12"/>
        <v>0</v>
      </c>
      <c r="CK63" s="66">
        <f t="shared" si="17"/>
        <v>0</v>
      </c>
      <c r="CL63" s="66"/>
      <c r="CM63" s="66"/>
      <c r="DH63" s="53">
        <v>3</v>
      </c>
      <c r="DL63" s="53">
        <v>2</v>
      </c>
      <c r="DV63" s="66"/>
    </row>
    <row r="64" spans="3:126" ht="12.75">
      <c r="C64" s="53" t="s">
        <v>26</v>
      </c>
      <c r="D64" s="53" t="s">
        <v>27</v>
      </c>
      <c r="E64" s="53">
        <v>3</v>
      </c>
      <c r="F64" s="53">
        <v>1</v>
      </c>
      <c r="J64" s="53">
        <v>1</v>
      </c>
      <c r="K64" s="53">
        <f t="shared" si="4"/>
        <v>2</v>
      </c>
      <c r="M64" s="53">
        <v>10</v>
      </c>
      <c r="P64" s="53">
        <v>1</v>
      </c>
      <c r="Q64" s="53">
        <v>3</v>
      </c>
      <c r="R64" s="53">
        <f t="shared" si="5"/>
        <v>14</v>
      </c>
      <c r="V64" s="53">
        <v>1</v>
      </c>
      <c r="W64" s="53">
        <v>1</v>
      </c>
      <c r="X64" s="53">
        <v>5</v>
      </c>
      <c r="Y64" s="53">
        <f t="shared" si="0"/>
        <v>7</v>
      </c>
      <c r="AB64" s="53">
        <v>1</v>
      </c>
      <c r="AC64" s="53">
        <v>1</v>
      </c>
      <c r="AF64" s="53">
        <f t="shared" si="6"/>
        <v>2</v>
      </c>
      <c r="AH64" s="71">
        <f t="shared" si="16"/>
        <v>0.1949317738791423</v>
      </c>
      <c r="AI64" s="66"/>
      <c r="AJ64" s="66"/>
      <c r="AQ64" s="53">
        <f t="shared" si="7"/>
        <v>0</v>
      </c>
      <c r="AX64" s="53">
        <f t="shared" si="8"/>
        <v>0</v>
      </c>
      <c r="BG64" s="53">
        <f t="shared" si="9"/>
        <v>0</v>
      </c>
      <c r="BN64" s="53">
        <v>1</v>
      </c>
      <c r="BS64" s="53">
        <f t="shared" si="10"/>
        <v>1</v>
      </c>
      <c r="BZ64" s="53">
        <f t="shared" si="11"/>
        <v>0</v>
      </c>
      <c r="CB64" s="71">
        <f t="shared" si="18"/>
        <v>0.009295408068414203</v>
      </c>
      <c r="CD64" s="53">
        <v>1</v>
      </c>
      <c r="CE64" s="53">
        <v>1</v>
      </c>
      <c r="CF64" s="53">
        <v>1</v>
      </c>
      <c r="CI64" s="53">
        <f t="shared" si="12"/>
        <v>3</v>
      </c>
      <c r="CK64" s="66">
        <f t="shared" si="17"/>
        <v>0.051484468851896344</v>
      </c>
      <c r="CL64" s="66"/>
      <c r="CM64" s="66"/>
      <c r="DH64" s="53">
        <v>3</v>
      </c>
      <c r="DV64" s="66"/>
    </row>
    <row r="65" spans="3:135" ht="12.75">
      <c r="C65" s="63" t="s">
        <v>87</v>
      </c>
      <c r="D65" s="53" t="s">
        <v>88</v>
      </c>
      <c r="E65" s="53">
        <v>0</v>
      </c>
      <c r="F65" s="53">
        <v>2</v>
      </c>
      <c r="G65" s="53">
        <v>1</v>
      </c>
      <c r="H65" s="53">
        <v>9</v>
      </c>
      <c r="I65" s="53">
        <v>4</v>
      </c>
      <c r="K65" s="53">
        <f t="shared" si="4"/>
        <v>16</v>
      </c>
      <c r="M65" s="53">
        <v>1</v>
      </c>
      <c r="Q65" s="53">
        <v>3</v>
      </c>
      <c r="R65" s="53">
        <f t="shared" si="5"/>
        <v>4</v>
      </c>
      <c r="X65" s="53">
        <v>1</v>
      </c>
      <c r="Y65" s="53">
        <f t="shared" si="0"/>
        <v>1</v>
      </c>
      <c r="AA65" s="53">
        <v>8</v>
      </c>
      <c r="AB65" s="53">
        <v>7</v>
      </c>
      <c r="AC65" s="53">
        <v>2</v>
      </c>
      <c r="AF65" s="53">
        <f t="shared" si="6"/>
        <v>17</v>
      </c>
      <c r="AH65" s="71">
        <f t="shared" si="16"/>
        <v>0.2962962962962963</v>
      </c>
      <c r="AI65" s="66"/>
      <c r="AJ65" s="66"/>
      <c r="AL65" s="53">
        <v>8</v>
      </c>
      <c r="AM65" s="53">
        <v>3</v>
      </c>
      <c r="AQ65" s="53">
        <f t="shared" si="7"/>
        <v>11</v>
      </c>
      <c r="AX65" s="53">
        <f t="shared" si="8"/>
        <v>0</v>
      </c>
      <c r="BC65" s="53">
        <v>1</v>
      </c>
      <c r="BD65" s="53">
        <v>3</v>
      </c>
      <c r="BF65" s="53">
        <v>1</v>
      </c>
      <c r="BG65" s="53">
        <f t="shared" si="9"/>
        <v>5</v>
      </c>
      <c r="BN65" s="53">
        <v>6</v>
      </c>
      <c r="BO65" s="53">
        <v>29</v>
      </c>
      <c r="BP65" s="53">
        <v>5</v>
      </c>
      <c r="BQ65" s="53">
        <v>4</v>
      </c>
      <c r="BR65" s="53">
        <v>1</v>
      </c>
      <c r="BS65" s="53">
        <f t="shared" si="10"/>
        <v>45</v>
      </c>
      <c r="BU65" s="53">
        <v>16</v>
      </c>
      <c r="BV65" s="53">
        <v>1</v>
      </c>
      <c r="BW65" s="53">
        <v>5</v>
      </c>
      <c r="BX65" s="53">
        <v>5</v>
      </c>
      <c r="BY65" s="53">
        <v>7</v>
      </c>
      <c r="BZ65" s="53">
        <f t="shared" si="11"/>
        <v>34</v>
      </c>
      <c r="CB65" s="71">
        <f t="shared" si="18"/>
        <v>0.8365867261572784</v>
      </c>
      <c r="CI65" s="53">
        <f t="shared" si="12"/>
        <v>0</v>
      </c>
      <c r="CK65" s="66">
        <f t="shared" si="17"/>
        <v>0.0858074480864939</v>
      </c>
      <c r="CL65" s="66"/>
      <c r="CM65" s="66"/>
      <c r="CP65" s="53">
        <v>3</v>
      </c>
      <c r="CQ65" s="53">
        <v>18</v>
      </c>
      <c r="CR65" s="53">
        <v>10</v>
      </c>
      <c r="CS65" s="53">
        <v>15</v>
      </c>
      <c r="CT65" s="53">
        <v>33</v>
      </c>
      <c r="CY65" s="53">
        <v>16</v>
      </c>
      <c r="CZ65" s="53">
        <v>14</v>
      </c>
      <c r="DA65" s="53">
        <v>5</v>
      </c>
      <c r="DB65" s="53">
        <v>16</v>
      </c>
      <c r="DC65" s="53">
        <v>12</v>
      </c>
      <c r="DI65" s="53">
        <v>3</v>
      </c>
      <c r="DQ65" s="53">
        <v>4</v>
      </c>
      <c r="DR65" s="53">
        <v>1</v>
      </c>
      <c r="DS65" s="53">
        <v>3</v>
      </c>
      <c r="DT65" s="53">
        <v>3</v>
      </c>
      <c r="DU65" s="53">
        <v>8</v>
      </c>
      <c r="DV65" s="66"/>
      <c r="EB65" s="53">
        <v>6</v>
      </c>
      <c r="EC65" s="53">
        <v>3</v>
      </c>
      <c r="ED65" s="53">
        <v>11</v>
      </c>
      <c r="EE65" s="53">
        <v>10</v>
      </c>
    </row>
    <row r="66" spans="2:126" ht="12.75">
      <c r="B66" s="53" t="s">
        <v>521</v>
      </c>
      <c r="C66" s="63" t="s">
        <v>522</v>
      </c>
      <c r="D66" s="53" t="s">
        <v>523</v>
      </c>
      <c r="E66" s="53">
        <v>4</v>
      </c>
      <c r="K66" s="53">
        <f t="shared" si="4"/>
        <v>0</v>
      </c>
      <c r="R66" s="53">
        <f t="shared" si="5"/>
        <v>0</v>
      </c>
      <c r="Y66" s="53">
        <f t="shared" si="0"/>
        <v>0</v>
      </c>
      <c r="AF66" s="53">
        <f t="shared" si="6"/>
        <v>0</v>
      </c>
      <c r="AH66" s="71">
        <f t="shared" si="16"/>
        <v>0</v>
      </c>
      <c r="AI66" s="66"/>
      <c r="AJ66" s="66"/>
      <c r="CB66" s="71"/>
      <c r="CK66" s="66"/>
      <c r="CL66" s="66"/>
      <c r="CM66" s="66"/>
      <c r="CP66" s="53">
        <v>1</v>
      </c>
      <c r="DC66" s="53">
        <v>1</v>
      </c>
      <c r="DV66" s="66"/>
    </row>
    <row r="67" spans="2:135" ht="12.75">
      <c r="B67" s="53" t="s">
        <v>38</v>
      </c>
      <c r="C67" s="63" t="s">
        <v>39</v>
      </c>
      <c r="D67" s="53" t="s">
        <v>40</v>
      </c>
      <c r="E67" s="53">
        <v>4</v>
      </c>
      <c r="K67" s="53">
        <f t="shared" si="4"/>
        <v>0</v>
      </c>
      <c r="N67" s="53">
        <v>1</v>
      </c>
      <c r="O67" s="53">
        <v>3</v>
      </c>
      <c r="P67" s="53">
        <v>1</v>
      </c>
      <c r="Q67" s="53">
        <v>4</v>
      </c>
      <c r="R67" s="53">
        <f t="shared" si="5"/>
        <v>9</v>
      </c>
      <c r="T67" s="53">
        <v>20</v>
      </c>
      <c r="U67" s="53">
        <v>18</v>
      </c>
      <c r="V67" s="53">
        <v>28</v>
      </c>
      <c r="W67" s="53">
        <v>26</v>
      </c>
      <c r="X67" s="53">
        <v>80</v>
      </c>
      <c r="Y67" s="53">
        <f t="shared" si="0"/>
        <v>172</v>
      </c>
      <c r="AA67" s="53">
        <v>28</v>
      </c>
      <c r="AB67" s="53">
        <v>26</v>
      </c>
      <c r="AC67" s="53">
        <v>39</v>
      </c>
      <c r="AD67" s="53">
        <v>15</v>
      </c>
      <c r="AE67" s="53">
        <v>14</v>
      </c>
      <c r="AF67" s="53">
        <f t="shared" si="6"/>
        <v>122</v>
      </c>
      <c r="AH67" s="71">
        <f t="shared" si="16"/>
        <v>2.3625730994152048</v>
      </c>
      <c r="AI67" s="66"/>
      <c r="AJ67" s="66"/>
      <c r="AL67" s="53">
        <v>27</v>
      </c>
      <c r="AM67" s="53">
        <v>14</v>
      </c>
      <c r="AN67" s="53">
        <v>16</v>
      </c>
      <c r="AO67" s="53">
        <v>5</v>
      </c>
      <c r="AP67" s="53">
        <v>6</v>
      </c>
      <c r="AQ67" s="53">
        <f t="shared" si="7"/>
        <v>68</v>
      </c>
      <c r="AS67" s="53">
        <v>7</v>
      </c>
      <c r="AT67" s="53">
        <v>4</v>
      </c>
      <c r="AU67" s="53">
        <v>4</v>
      </c>
      <c r="AV67" s="53">
        <v>8</v>
      </c>
      <c r="AW67" s="53">
        <v>14</v>
      </c>
      <c r="AX67" s="53">
        <f t="shared" si="8"/>
        <v>37</v>
      </c>
      <c r="BB67" s="53">
        <v>89</v>
      </c>
      <c r="BC67" s="53">
        <v>81</v>
      </c>
      <c r="BD67" s="53">
        <v>26</v>
      </c>
      <c r="BE67" s="53">
        <v>10</v>
      </c>
      <c r="BF67" s="53">
        <v>79</v>
      </c>
      <c r="BG67" s="53">
        <f t="shared" si="9"/>
        <v>285</v>
      </c>
      <c r="BN67" s="53">
        <v>63</v>
      </c>
      <c r="BO67" s="53">
        <v>40</v>
      </c>
      <c r="BP67" s="53">
        <v>40</v>
      </c>
      <c r="BQ67" s="53">
        <v>30</v>
      </c>
      <c r="BR67" s="53">
        <v>7</v>
      </c>
      <c r="BS67" s="53">
        <f t="shared" si="10"/>
        <v>180</v>
      </c>
      <c r="BU67" s="53">
        <v>29</v>
      </c>
      <c r="BV67" s="53">
        <v>9</v>
      </c>
      <c r="BW67" s="53">
        <v>3</v>
      </c>
      <c r="BX67" s="53">
        <v>18</v>
      </c>
      <c r="BY67" s="53">
        <v>11</v>
      </c>
      <c r="BZ67" s="53">
        <f t="shared" si="11"/>
        <v>70</v>
      </c>
      <c r="CB67" s="71">
        <f>100*SUM($AL67:$AP67,$AS67:$AW67,$BN67:$BR67,$BU67:$BY67)/SUM($AQ$169,$AX$169,$BS$169,$BZ$169)</f>
        <v>3.299869864287042</v>
      </c>
      <c r="CD67" s="53">
        <v>111</v>
      </c>
      <c r="CE67" s="53">
        <v>34</v>
      </c>
      <c r="CF67" s="53">
        <v>14</v>
      </c>
      <c r="CG67" s="53">
        <v>12</v>
      </c>
      <c r="CH67" s="53">
        <v>15</v>
      </c>
      <c r="CI67" s="53">
        <f t="shared" si="12"/>
        <v>186</v>
      </c>
      <c r="CK67" s="66">
        <f t="shared" si="17"/>
        <v>8.083061609747727</v>
      </c>
      <c r="CL67" s="66"/>
      <c r="CM67" s="66"/>
      <c r="CP67" s="53">
        <v>160</v>
      </c>
      <c r="CQ67" s="53">
        <v>139</v>
      </c>
      <c r="CR67" s="53">
        <v>159</v>
      </c>
      <c r="CS67" s="53">
        <v>150</v>
      </c>
      <c r="CT67" s="53">
        <v>180</v>
      </c>
      <c r="CY67" s="53">
        <v>172</v>
      </c>
      <c r="CZ67" s="53">
        <v>64</v>
      </c>
      <c r="DA67" s="53">
        <v>163</v>
      </c>
      <c r="DB67" s="53">
        <v>164</v>
      </c>
      <c r="DC67" s="53">
        <v>133</v>
      </c>
      <c r="DH67" s="53">
        <v>19</v>
      </c>
      <c r="DI67" s="53">
        <v>48</v>
      </c>
      <c r="DJ67" s="53">
        <v>56</v>
      </c>
      <c r="DK67" s="53">
        <v>28</v>
      </c>
      <c r="DL67" s="53">
        <v>49</v>
      </c>
      <c r="DQ67" s="53">
        <v>163</v>
      </c>
      <c r="DR67" s="53">
        <v>130</v>
      </c>
      <c r="DS67" s="53">
        <v>160</v>
      </c>
      <c r="DT67" s="53">
        <v>55</v>
      </c>
      <c r="DU67" s="53">
        <v>33</v>
      </c>
      <c r="DV67" s="66"/>
      <c r="EA67" s="53">
        <v>210</v>
      </c>
      <c r="EB67" s="53">
        <v>231</v>
      </c>
      <c r="EC67" s="53">
        <v>170</v>
      </c>
      <c r="ED67" s="53">
        <v>255</v>
      </c>
      <c r="EE67" s="53">
        <v>154</v>
      </c>
    </row>
    <row r="68" spans="3:126" ht="12.75">
      <c r="C68" s="63"/>
      <c r="D68" s="53" t="s">
        <v>80</v>
      </c>
      <c r="E68" s="53">
        <v>4</v>
      </c>
      <c r="F68" s="53">
        <v>2</v>
      </c>
      <c r="H68" s="53">
        <v>4</v>
      </c>
      <c r="I68" s="53">
        <v>2</v>
      </c>
      <c r="J68" s="53">
        <v>2</v>
      </c>
      <c r="K68" s="53">
        <f t="shared" si="4"/>
        <v>10</v>
      </c>
      <c r="M68" s="53">
        <v>5</v>
      </c>
      <c r="R68" s="53">
        <f t="shared" si="5"/>
        <v>5</v>
      </c>
      <c r="U68" s="53">
        <v>1</v>
      </c>
      <c r="Y68" s="53">
        <f t="shared" si="0"/>
        <v>1</v>
      </c>
      <c r="AC68" s="53">
        <v>1</v>
      </c>
      <c r="AE68" s="53">
        <v>1</v>
      </c>
      <c r="AF68" s="53">
        <f t="shared" si="6"/>
        <v>2</v>
      </c>
      <c r="AH68" s="71">
        <f t="shared" si="16"/>
        <v>0.14035087719298245</v>
      </c>
      <c r="AI68" s="66"/>
      <c r="AJ68" s="66"/>
      <c r="AQ68" s="53">
        <f t="shared" si="7"/>
        <v>0</v>
      </c>
      <c r="AX68" s="53">
        <f t="shared" si="8"/>
        <v>0</v>
      </c>
      <c r="BG68" s="53">
        <f t="shared" si="9"/>
        <v>0</v>
      </c>
      <c r="BS68" s="53">
        <f t="shared" si="10"/>
        <v>0</v>
      </c>
      <c r="BZ68" s="53">
        <f t="shared" si="11"/>
        <v>0</v>
      </c>
      <c r="CB68" s="71">
        <f>100*SUM($AL68:$AP68,$AS68:$AW68,$BN68:$BR68,$BU68:$BY68)/SUM($AQ$169,$AX$169,$BS$169,$BZ$169)</f>
        <v>0</v>
      </c>
      <c r="CI68" s="53">
        <f t="shared" si="12"/>
        <v>0</v>
      </c>
      <c r="CK68" s="66">
        <f t="shared" si="17"/>
        <v>0</v>
      </c>
      <c r="CL68" s="66"/>
      <c r="CM68" s="66"/>
      <c r="CY68" s="53">
        <v>3</v>
      </c>
      <c r="CZ68" s="53">
        <v>1</v>
      </c>
      <c r="DB68" s="53">
        <v>3</v>
      </c>
      <c r="DC68" s="53">
        <v>4</v>
      </c>
      <c r="DV68" s="66"/>
    </row>
    <row r="69" spans="3:126" ht="12.75">
      <c r="C69" s="63"/>
      <c r="D69" s="53" t="s">
        <v>175</v>
      </c>
      <c r="E69" s="53">
        <v>4</v>
      </c>
      <c r="K69" s="53">
        <f t="shared" si="4"/>
        <v>0</v>
      </c>
      <c r="R69" s="53">
        <f t="shared" si="5"/>
        <v>0</v>
      </c>
      <c r="T69" s="53">
        <v>1</v>
      </c>
      <c r="Y69" s="53">
        <f t="shared" si="0"/>
        <v>1</v>
      </c>
      <c r="AF69" s="53">
        <f t="shared" si="6"/>
        <v>0</v>
      </c>
      <c r="AH69" s="71">
        <f t="shared" si="16"/>
        <v>0.007797270955165692</v>
      </c>
      <c r="AI69" s="66"/>
      <c r="AJ69" s="66"/>
      <c r="AQ69" s="53">
        <f t="shared" si="7"/>
        <v>0</v>
      </c>
      <c r="AX69" s="53">
        <f t="shared" si="8"/>
        <v>0</v>
      </c>
      <c r="BG69" s="53">
        <f t="shared" si="9"/>
        <v>0</v>
      </c>
      <c r="BS69" s="53">
        <f t="shared" si="10"/>
        <v>0</v>
      </c>
      <c r="BZ69" s="53">
        <f t="shared" si="11"/>
        <v>0</v>
      </c>
      <c r="CB69" s="71">
        <f>100*SUM($AL69:$AP69,$AS69:$AW69,$BN69:$BR69,$BU69:$BY69)/SUM($AQ$169,$AX$169,$BS$169,$BZ$169)</f>
        <v>0</v>
      </c>
      <c r="CI69" s="53">
        <f t="shared" si="12"/>
        <v>0</v>
      </c>
      <c r="CK69" s="66">
        <f t="shared" si="17"/>
        <v>0</v>
      </c>
      <c r="CL69" s="66"/>
      <c r="CM69" s="66"/>
      <c r="DV69" s="66"/>
    </row>
    <row r="70" spans="3:133" ht="12.75">
      <c r="C70" s="63"/>
      <c r="D70" s="53" t="s">
        <v>447</v>
      </c>
      <c r="E70" s="53">
        <v>4</v>
      </c>
      <c r="K70" s="53">
        <f t="shared" si="4"/>
        <v>0</v>
      </c>
      <c r="R70" s="53">
        <f t="shared" si="5"/>
        <v>0</v>
      </c>
      <c r="Y70" s="53">
        <f t="shared" si="0"/>
        <v>0</v>
      </c>
      <c r="AF70" s="53">
        <f t="shared" si="6"/>
        <v>0</v>
      </c>
      <c r="AH70" s="71">
        <f t="shared" si="16"/>
        <v>0</v>
      </c>
      <c r="AI70" s="66"/>
      <c r="AJ70" s="66"/>
      <c r="CB70" s="71"/>
      <c r="CK70" s="66"/>
      <c r="CL70" s="66"/>
      <c r="CM70" s="66"/>
      <c r="DV70" s="66"/>
      <c r="EC70" s="53">
        <v>1</v>
      </c>
    </row>
    <row r="71" spans="3:126" ht="12.75">
      <c r="C71" s="63"/>
      <c r="D71" s="53" t="s">
        <v>537</v>
      </c>
      <c r="E71" s="53">
        <v>4</v>
      </c>
      <c r="K71" s="53">
        <f t="shared" si="4"/>
        <v>0</v>
      </c>
      <c r="R71" s="53">
        <f t="shared" si="5"/>
        <v>0</v>
      </c>
      <c r="Y71" s="53">
        <f t="shared" si="0"/>
        <v>0</v>
      </c>
      <c r="AF71" s="53">
        <f t="shared" si="6"/>
        <v>0</v>
      </c>
      <c r="AH71" s="71">
        <f t="shared" si="16"/>
        <v>0</v>
      </c>
      <c r="AI71" s="66"/>
      <c r="AJ71" s="66"/>
      <c r="CB71" s="71"/>
      <c r="CK71" s="66"/>
      <c r="CL71" s="66"/>
      <c r="CM71" s="66"/>
      <c r="DV71" s="66"/>
    </row>
    <row r="72" spans="3:126" ht="12.75">
      <c r="C72" s="63"/>
      <c r="D72" s="53" t="s">
        <v>526</v>
      </c>
      <c r="E72" s="53">
        <v>4</v>
      </c>
      <c r="K72" s="53">
        <f t="shared" si="4"/>
        <v>0</v>
      </c>
      <c r="R72" s="53">
        <f t="shared" si="5"/>
        <v>0</v>
      </c>
      <c r="Y72" s="53">
        <f t="shared" si="0"/>
        <v>0</v>
      </c>
      <c r="AF72" s="53">
        <f t="shared" si="6"/>
        <v>0</v>
      </c>
      <c r="AH72" s="71">
        <f t="shared" si="16"/>
        <v>0</v>
      </c>
      <c r="AI72" s="66"/>
      <c r="AJ72" s="66"/>
      <c r="CB72" s="71"/>
      <c r="CK72" s="66"/>
      <c r="CL72" s="66"/>
      <c r="CM72" s="66"/>
      <c r="DI72" s="53">
        <v>1</v>
      </c>
      <c r="DV72" s="66"/>
    </row>
    <row r="73" spans="3:126" ht="12.75">
      <c r="C73" s="63" t="s">
        <v>110</v>
      </c>
      <c r="D73" s="53" t="s">
        <v>111</v>
      </c>
      <c r="E73" s="53">
        <v>5</v>
      </c>
      <c r="G73" s="53">
        <v>1</v>
      </c>
      <c r="H73" s="53">
        <v>2</v>
      </c>
      <c r="K73" s="53">
        <f t="shared" si="4"/>
        <v>3</v>
      </c>
      <c r="R73" s="53">
        <f t="shared" si="5"/>
        <v>0</v>
      </c>
      <c r="Y73" s="53">
        <f t="shared" si="0"/>
        <v>0</v>
      </c>
      <c r="AF73" s="53">
        <f t="shared" si="6"/>
        <v>0</v>
      </c>
      <c r="AH73" s="71">
        <f t="shared" si="16"/>
        <v>0.023391812865497075</v>
      </c>
      <c r="AI73" s="66"/>
      <c r="AJ73" s="66"/>
      <c r="AQ73" s="53">
        <f t="shared" si="7"/>
        <v>0</v>
      </c>
      <c r="AX73" s="53">
        <f t="shared" si="8"/>
        <v>0</v>
      </c>
      <c r="BG73" s="53">
        <f t="shared" si="9"/>
        <v>0</v>
      </c>
      <c r="BS73" s="53">
        <f t="shared" si="10"/>
        <v>0</v>
      </c>
      <c r="BZ73" s="53">
        <f t="shared" si="11"/>
        <v>0</v>
      </c>
      <c r="CB73" s="71">
        <f aca="true" t="shared" si="19" ref="CB73:CB83">100*SUM($AL73:$AP73,$AS73:$AW73,$BN73:$BR73,$BU73:$BY73)/SUM($AQ$169,$AX$169,$BS$169,$BZ$169)</f>
        <v>0</v>
      </c>
      <c r="CI73" s="53">
        <f t="shared" si="12"/>
        <v>0</v>
      </c>
      <c r="CK73" s="66">
        <f aca="true" t="shared" si="20" ref="CK73:CK83">100*(BG73+CI73)/($BG$169+$CI$169)</f>
        <v>0</v>
      </c>
      <c r="CL73" s="66"/>
      <c r="CM73" s="66"/>
      <c r="DV73" s="66"/>
    </row>
    <row r="74" spans="3:126" ht="12.75">
      <c r="C74" s="63" t="s">
        <v>176</v>
      </c>
      <c r="D74" s="53" t="s">
        <v>177</v>
      </c>
      <c r="E74" s="53">
        <v>5</v>
      </c>
      <c r="K74" s="53">
        <f t="shared" si="4"/>
        <v>0</v>
      </c>
      <c r="R74" s="53">
        <f t="shared" si="5"/>
        <v>0</v>
      </c>
      <c r="T74" s="53">
        <v>2</v>
      </c>
      <c r="U74" s="53">
        <v>2</v>
      </c>
      <c r="V74" s="53">
        <v>2</v>
      </c>
      <c r="Y74" s="53">
        <f t="shared" si="0"/>
        <v>6</v>
      </c>
      <c r="AF74" s="53">
        <f t="shared" si="6"/>
        <v>0</v>
      </c>
      <c r="AH74" s="71">
        <f t="shared" si="16"/>
        <v>0.04678362573099415</v>
      </c>
      <c r="AI74" s="66"/>
      <c r="AJ74" s="66"/>
      <c r="AQ74" s="53">
        <f t="shared" si="7"/>
        <v>0</v>
      </c>
      <c r="AX74" s="53">
        <f t="shared" si="8"/>
        <v>0</v>
      </c>
      <c r="BG74" s="53">
        <f t="shared" si="9"/>
        <v>0</v>
      </c>
      <c r="BS74" s="53">
        <f t="shared" si="10"/>
        <v>0</v>
      </c>
      <c r="BZ74" s="53">
        <f t="shared" si="11"/>
        <v>0</v>
      </c>
      <c r="CB74" s="71">
        <f t="shared" si="19"/>
        <v>0</v>
      </c>
      <c r="CI74" s="53">
        <f t="shared" si="12"/>
        <v>0</v>
      </c>
      <c r="CK74" s="66">
        <f t="shared" si="20"/>
        <v>0</v>
      </c>
      <c r="CL74" s="66"/>
      <c r="CM74" s="66"/>
      <c r="DV74" s="66"/>
    </row>
    <row r="75" spans="2:126" ht="12.75">
      <c r="B75" s="53" t="s">
        <v>169</v>
      </c>
      <c r="C75" s="63" t="s">
        <v>170</v>
      </c>
      <c r="D75" s="53" t="s">
        <v>171</v>
      </c>
      <c r="E75" s="53">
        <v>4</v>
      </c>
      <c r="K75" s="53">
        <f t="shared" si="4"/>
        <v>0</v>
      </c>
      <c r="R75" s="53">
        <f t="shared" si="5"/>
        <v>0</v>
      </c>
      <c r="T75" s="53">
        <v>1</v>
      </c>
      <c r="W75" s="53">
        <v>1</v>
      </c>
      <c r="Y75" s="53">
        <f aca="true" t="shared" si="21" ref="Y75:Y138">SUM(T75:X75)</f>
        <v>2</v>
      </c>
      <c r="AF75" s="53">
        <f t="shared" si="6"/>
        <v>0</v>
      </c>
      <c r="AH75" s="71">
        <f t="shared" si="16"/>
        <v>0.015594541910331383</v>
      </c>
      <c r="AI75" s="66"/>
      <c r="AJ75" s="66"/>
      <c r="AQ75" s="53">
        <f t="shared" si="7"/>
        <v>0</v>
      </c>
      <c r="AX75" s="53">
        <f t="shared" si="8"/>
        <v>0</v>
      </c>
      <c r="BG75" s="53">
        <f t="shared" si="9"/>
        <v>0</v>
      </c>
      <c r="BS75" s="53">
        <f t="shared" si="10"/>
        <v>0</v>
      </c>
      <c r="BZ75" s="53">
        <f t="shared" si="11"/>
        <v>0</v>
      </c>
      <c r="CB75" s="71">
        <f t="shared" si="19"/>
        <v>0</v>
      </c>
      <c r="CI75" s="53">
        <f t="shared" si="12"/>
        <v>0</v>
      </c>
      <c r="CK75" s="66">
        <f t="shared" si="20"/>
        <v>0</v>
      </c>
      <c r="CL75" s="66"/>
      <c r="CM75" s="66"/>
      <c r="DV75" s="66"/>
    </row>
    <row r="76" spans="2:134" ht="12.75">
      <c r="B76" s="53" t="s">
        <v>30</v>
      </c>
      <c r="C76" s="53" t="s">
        <v>31</v>
      </c>
      <c r="D76" s="53" t="s">
        <v>96</v>
      </c>
      <c r="E76" s="53">
        <v>3</v>
      </c>
      <c r="F76" s="53">
        <v>1</v>
      </c>
      <c r="H76" s="53">
        <v>2</v>
      </c>
      <c r="I76" s="53">
        <v>4</v>
      </c>
      <c r="J76" s="53">
        <v>1</v>
      </c>
      <c r="K76" s="53">
        <f t="shared" si="4"/>
        <v>8</v>
      </c>
      <c r="M76" s="53">
        <v>1</v>
      </c>
      <c r="N76" s="53">
        <v>2</v>
      </c>
      <c r="Q76" s="53">
        <v>1</v>
      </c>
      <c r="R76" s="53">
        <f aca="true" t="shared" si="22" ref="R76:R139">SUM(M76:Q76)</f>
        <v>4</v>
      </c>
      <c r="Y76" s="53">
        <f t="shared" si="21"/>
        <v>0</v>
      </c>
      <c r="AA76" s="53">
        <v>5</v>
      </c>
      <c r="AC76" s="53">
        <v>4</v>
      </c>
      <c r="AE76" s="53">
        <v>1</v>
      </c>
      <c r="AF76" s="53">
        <f aca="true" t="shared" si="23" ref="AF76:AF139">SUM(AA76:AE76)</f>
        <v>10</v>
      </c>
      <c r="AH76" s="71">
        <f aca="true" t="shared" si="24" ref="AH76:AH139">100*SUM(F76:J76,M76:Q76,T76:X76,AA76:AE76)/SUM($K$169,$R$169,$Y$169,$AF$169)</f>
        <v>0.17153996101364521</v>
      </c>
      <c r="AI76" s="66"/>
      <c r="AJ76" s="66"/>
      <c r="AM76" s="53">
        <v>1</v>
      </c>
      <c r="AN76" s="53">
        <v>1</v>
      </c>
      <c r="AQ76" s="53">
        <f t="shared" si="7"/>
        <v>2</v>
      </c>
      <c r="AS76" s="53">
        <v>2</v>
      </c>
      <c r="AU76" s="53">
        <v>1</v>
      </c>
      <c r="AW76" s="53">
        <v>1</v>
      </c>
      <c r="AX76" s="53">
        <f t="shared" si="8"/>
        <v>4</v>
      </c>
      <c r="BD76" s="53">
        <v>2</v>
      </c>
      <c r="BF76" s="53">
        <v>1</v>
      </c>
      <c r="BG76" s="53">
        <f t="shared" si="9"/>
        <v>3</v>
      </c>
      <c r="BN76" s="53">
        <v>1</v>
      </c>
      <c r="BO76" s="53">
        <v>1</v>
      </c>
      <c r="BP76" s="53">
        <v>2</v>
      </c>
      <c r="BS76" s="53">
        <f t="shared" si="10"/>
        <v>4</v>
      </c>
      <c r="BU76" s="53">
        <v>2</v>
      </c>
      <c r="BX76" s="53">
        <v>1</v>
      </c>
      <c r="BZ76" s="53">
        <f t="shared" si="11"/>
        <v>3</v>
      </c>
      <c r="CB76" s="71">
        <f t="shared" si="19"/>
        <v>0.12084030488938464</v>
      </c>
      <c r="CD76" s="53">
        <v>1</v>
      </c>
      <c r="CI76" s="53">
        <f t="shared" si="12"/>
        <v>1</v>
      </c>
      <c r="CK76" s="66">
        <f t="shared" si="20"/>
        <v>0.06864595846919512</v>
      </c>
      <c r="CL76" s="66"/>
      <c r="CM76" s="66"/>
      <c r="CT76" s="53">
        <v>2</v>
      </c>
      <c r="CZ76" s="53">
        <v>1</v>
      </c>
      <c r="DH76" s="53">
        <v>1</v>
      </c>
      <c r="DI76" s="53">
        <v>1</v>
      </c>
      <c r="DJ76" s="53">
        <v>2</v>
      </c>
      <c r="DL76" s="53">
        <v>1</v>
      </c>
      <c r="DT76" s="53">
        <v>1</v>
      </c>
      <c r="DU76" s="53">
        <v>1</v>
      </c>
      <c r="DV76" s="66"/>
      <c r="EB76" s="53">
        <v>4</v>
      </c>
      <c r="EC76" s="53">
        <v>2</v>
      </c>
      <c r="ED76" s="53">
        <v>1</v>
      </c>
    </row>
    <row r="77" spans="4:126" ht="12.75">
      <c r="D77" s="53" t="s">
        <v>295</v>
      </c>
      <c r="E77" s="53">
        <v>3</v>
      </c>
      <c r="K77" s="53">
        <f t="shared" si="4"/>
        <v>0</v>
      </c>
      <c r="R77" s="53">
        <f t="shared" si="22"/>
        <v>0</v>
      </c>
      <c r="Y77" s="53">
        <f t="shared" si="21"/>
        <v>0</v>
      </c>
      <c r="AF77" s="53">
        <f t="shared" si="23"/>
        <v>0</v>
      </c>
      <c r="AH77" s="71">
        <f t="shared" si="24"/>
        <v>0</v>
      </c>
      <c r="AI77" s="66"/>
      <c r="AJ77" s="66"/>
      <c r="AP77" s="53">
        <v>1</v>
      </c>
      <c r="AQ77" s="53">
        <f t="shared" si="7"/>
        <v>1</v>
      </c>
      <c r="AX77" s="53">
        <f t="shared" si="8"/>
        <v>0</v>
      </c>
      <c r="BG77" s="53">
        <f t="shared" si="9"/>
        <v>0</v>
      </c>
      <c r="BS77" s="53">
        <f t="shared" si="10"/>
        <v>0</v>
      </c>
      <c r="BZ77" s="53">
        <f t="shared" si="11"/>
        <v>0</v>
      </c>
      <c r="CB77" s="71">
        <f t="shared" si="19"/>
        <v>0.009295408068414203</v>
      </c>
      <c r="CI77" s="53">
        <f t="shared" si="12"/>
        <v>0</v>
      </c>
      <c r="CK77" s="66">
        <f t="shared" si="20"/>
        <v>0</v>
      </c>
      <c r="CL77" s="66"/>
      <c r="CM77" s="66"/>
      <c r="DB77" s="53">
        <v>1</v>
      </c>
      <c r="DV77" s="66"/>
    </row>
    <row r="78" spans="4:135" ht="12.75">
      <c r="D78" s="53" t="s">
        <v>35</v>
      </c>
      <c r="E78" s="53">
        <v>1</v>
      </c>
      <c r="F78" s="53">
        <v>30</v>
      </c>
      <c r="G78" s="53">
        <v>4</v>
      </c>
      <c r="H78" s="53">
        <v>17</v>
      </c>
      <c r="I78" s="53">
        <v>21</v>
      </c>
      <c r="J78" s="53">
        <v>3</v>
      </c>
      <c r="K78" s="53">
        <f t="shared" si="4"/>
        <v>75</v>
      </c>
      <c r="M78" s="53">
        <v>2</v>
      </c>
      <c r="N78" s="53">
        <v>7</v>
      </c>
      <c r="O78" s="53">
        <v>1</v>
      </c>
      <c r="Q78" s="53">
        <v>4</v>
      </c>
      <c r="R78" s="53">
        <f t="shared" si="22"/>
        <v>14</v>
      </c>
      <c r="X78" s="53">
        <v>2</v>
      </c>
      <c r="Y78" s="53">
        <f t="shared" si="21"/>
        <v>2</v>
      </c>
      <c r="AA78" s="53">
        <v>3</v>
      </c>
      <c r="AB78" s="53">
        <v>2</v>
      </c>
      <c r="AC78" s="53">
        <v>1</v>
      </c>
      <c r="AD78" s="53">
        <v>1</v>
      </c>
      <c r="AE78" s="53">
        <v>2</v>
      </c>
      <c r="AF78" s="53">
        <f t="shared" si="23"/>
        <v>9</v>
      </c>
      <c r="AH78" s="71">
        <f t="shared" si="24"/>
        <v>0.7797270955165692</v>
      </c>
      <c r="AI78" s="66"/>
      <c r="AJ78" s="66"/>
      <c r="AL78" s="53">
        <v>2</v>
      </c>
      <c r="AN78" s="53">
        <v>1</v>
      </c>
      <c r="AP78" s="53">
        <v>1</v>
      </c>
      <c r="AQ78" s="53">
        <f t="shared" si="7"/>
        <v>4</v>
      </c>
      <c r="AV78" s="53">
        <v>1</v>
      </c>
      <c r="AW78" s="53">
        <v>1</v>
      </c>
      <c r="AX78" s="53">
        <f t="shared" si="8"/>
        <v>2</v>
      </c>
      <c r="BB78" s="53">
        <v>1</v>
      </c>
      <c r="BC78" s="53">
        <v>1</v>
      </c>
      <c r="BE78" s="53">
        <v>1</v>
      </c>
      <c r="BG78" s="53">
        <f t="shared" si="9"/>
        <v>3</v>
      </c>
      <c r="BN78" s="53">
        <v>1</v>
      </c>
      <c r="BO78" s="53">
        <v>1</v>
      </c>
      <c r="BP78" s="53">
        <v>4</v>
      </c>
      <c r="BQ78" s="53">
        <v>1</v>
      </c>
      <c r="BR78" s="53">
        <v>2</v>
      </c>
      <c r="BS78" s="53">
        <f t="shared" si="10"/>
        <v>9</v>
      </c>
      <c r="BU78" s="53">
        <v>2</v>
      </c>
      <c r="BW78" s="53">
        <v>1</v>
      </c>
      <c r="BX78" s="53">
        <v>3</v>
      </c>
      <c r="BZ78" s="53">
        <f t="shared" si="11"/>
        <v>6</v>
      </c>
      <c r="CB78" s="71">
        <f t="shared" si="19"/>
        <v>0.19520356943669828</v>
      </c>
      <c r="CD78" s="53">
        <v>1</v>
      </c>
      <c r="CE78" s="53">
        <v>1</v>
      </c>
      <c r="CF78" s="53">
        <v>1</v>
      </c>
      <c r="CI78" s="53">
        <f t="shared" si="12"/>
        <v>3</v>
      </c>
      <c r="CK78" s="66">
        <f t="shared" si="20"/>
        <v>0.10296893770379269</v>
      </c>
      <c r="CL78" s="66"/>
      <c r="CM78" s="66"/>
      <c r="CR78" s="53">
        <v>1</v>
      </c>
      <c r="DA78" s="53">
        <v>1</v>
      </c>
      <c r="DQ78" s="53">
        <v>1</v>
      </c>
      <c r="DT78" s="53">
        <v>1</v>
      </c>
      <c r="DV78" s="66"/>
      <c r="EA78" s="53">
        <v>1</v>
      </c>
      <c r="EB78" s="53">
        <v>1</v>
      </c>
      <c r="EC78" s="53">
        <v>1</v>
      </c>
      <c r="EE78" s="53">
        <v>1</v>
      </c>
    </row>
    <row r="79" spans="4:135" ht="12.75">
      <c r="D79" s="53" t="s">
        <v>32</v>
      </c>
      <c r="E79" s="53">
        <v>2</v>
      </c>
      <c r="F79" s="53">
        <v>8</v>
      </c>
      <c r="H79" s="53">
        <v>9</v>
      </c>
      <c r="I79" s="53">
        <v>11</v>
      </c>
      <c r="K79" s="53">
        <f t="shared" si="4"/>
        <v>28</v>
      </c>
      <c r="M79" s="53">
        <v>3</v>
      </c>
      <c r="N79" s="53">
        <v>1</v>
      </c>
      <c r="O79" s="53">
        <v>5</v>
      </c>
      <c r="P79" s="53">
        <v>2</v>
      </c>
      <c r="Q79" s="53">
        <v>4</v>
      </c>
      <c r="R79" s="53">
        <f t="shared" si="22"/>
        <v>15</v>
      </c>
      <c r="T79" s="53">
        <v>5</v>
      </c>
      <c r="U79" s="53">
        <v>4</v>
      </c>
      <c r="V79" s="53">
        <v>5</v>
      </c>
      <c r="W79" s="53">
        <v>4</v>
      </c>
      <c r="X79" s="53">
        <v>8</v>
      </c>
      <c r="Y79" s="53">
        <f t="shared" si="21"/>
        <v>26</v>
      </c>
      <c r="AA79" s="53">
        <v>10</v>
      </c>
      <c r="AB79" s="53">
        <v>8</v>
      </c>
      <c r="AC79" s="53">
        <v>6</v>
      </c>
      <c r="AD79" s="53">
        <v>10</v>
      </c>
      <c r="AE79" s="53">
        <v>3</v>
      </c>
      <c r="AF79" s="53">
        <f t="shared" si="23"/>
        <v>37</v>
      </c>
      <c r="AH79" s="71">
        <f t="shared" si="24"/>
        <v>0.8265107212475633</v>
      </c>
      <c r="AI79" s="66"/>
      <c r="AJ79" s="66"/>
      <c r="AL79" s="53">
        <v>1</v>
      </c>
      <c r="AQ79" s="53">
        <f t="shared" si="7"/>
        <v>1</v>
      </c>
      <c r="AU79" s="53">
        <v>2</v>
      </c>
      <c r="AV79" s="53">
        <v>1</v>
      </c>
      <c r="AW79" s="53">
        <v>2</v>
      </c>
      <c r="AX79" s="53">
        <f t="shared" si="8"/>
        <v>5</v>
      </c>
      <c r="BB79" s="53">
        <v>4</v>
      </c>
      <c r="BC79" s="53">
        <v>5</v>
      </c>
      <c r="BD79" s="53">
        <v>6</v>
      </c>
      <c r="BE79" s="53">
        <v>6</v>
      </c>
      <c r="BF79" s="53">
        <v>9</v>
      </c>
      <c r="BG79" s="53">
        <f t="shared" si="9"/>
        <v>30</v>
      </c>
      <c r="BO79" s="53">
        <v>1</v>
      </c>
      <c r="BP79" s="53">
        <v>4</v>
      </c>
      <c r="BS79" s="53">
        <f t="shared" si="10"/>
        <v>5</v>
      </c>
      <c r="BV79" s="53">
        <v>1</v>
      </c>
      <c r="BW79" s="53">
        <v>1</v>
      </c>
      <c r="BX79" s="53">
        <v>2</v>
      </c>
      <c r="BY79" s="53">
        <v>1</v>
      </c>
      <c r="BZ79" s="53">
        <f t="shared" si="11"/>
        <v>5</v>
      </c>
      <c r="CB79" s="71">
        <f t="shared" si="19"/>
        <v>0.14872652909462725</v>
      </c>
      <c r="CD79" s="53">
        <v>5</v>
      </c>
      <c r="CE79" s="53">
        <v>1</v>
      </c>
      <c r="CF79" s="53">
        <v>1</v>
      </c>
      <c r="CG79" s="53">
        <v>1</v>
      </c>
      <c r="CI79" s="53">
        <f t="shared" si="12"/>
        <v>8</v>
      </c>
      <c r="CK79" s="66">
        <f t="shared" si="20"/>
        <v>0.6521366054573537</v>
      </c>
      <c r="CL79" s="66"/>
      <c r="CM79" s="66"/>
      <c r="CP79" s="53">
        <v>1</v>
      </c>
      <c r="CQ79" s="53">
        <v>3</v>
      </c>
      <c r="CR79" s="53">
        <v>2</v>
      </c>
      <c r="CT79" s="53">
        <v>2</v>
      </c>
      <c r="CY79" s="53">
        <v>6</v>
      </c>
      <c r="DB79" s="53">
        <v>2</v>
      </c>
      <c r="DC79" s="53">
        <v>1</v>
      </c>
      <c r="DH79" s="53">
        <v>1</v>
      </c>
      <c r="DI79" s="53">
        <v>4</v>
      </c>
      <c r="DJ79" s="53">
        <v>2</v>
      </c>
      <c r="DK79" s="53">
        <v>1</v>
      </c>
      <c r="DL79" s="53">
        <v>4</v>
      </c>
      <c r="DQ79" s="53">
        <v>2</v>
      </c>
      <c r="DR79" s="53">
        <v>1</v>
      </c>
      <c r="DS79" s="53">
        <v>8</v>
      </c>
      <c r="DT79" s="53">
        <v>1</v>
      </c>
      <c r="DU79" s="53">
        <v>1</v>
      </c>
      <c r="DV79" s="66"/>
      <c r="EA79" s="53">
        <v>3</v>
      </c>
      <c r="EB79" s="53">
        <v>1</v>
      </c>
      <c r="EC79" s="53">
        <v>1</v>
      </c>
      <c r="ED79" s="53">
        <v>2</v>
      </c>
      <c r="EE79" s="53">
        <v>2</v>
      </c>
    </row>
    <row r="80" spans="4:135" ht="12.75">
      <c r="D80" s="53" t="s">
        <v>288</v>
      </c>
      <c r="E80" s="53">
        <v>3</v>
      </c>
      <c r="K80" s="53">
        <f t="shared" si="4"/>
        <v>0</v>
      </c>
      <c r="R80" s="53">
        <f t="shared" si="22"/>
        <v>0</v>
      </c>
      <c r="Y80" s="53">
        <f t="shared" si="21"/>
        <v>0</v>
      </c>
      <c r="AF80" s="53">
        <f t="shared" si="23"/>
        <v>0</v>
      </c>
      <c r="AH80" s="71">
        <f t="shared" si="24"/>
        <v>0</v>
      </c>
      <c r="AI80" s="66"/>
      <c r="AJ80" s="66"/>
      <c r="AM80" s="53">
        <v>1</v>
      </c>
      <c r="AN80" s="53">
        <v>2</v>
      </c>
      <c r="AP80" s="53">
        <v>1</v>
      </c>
      <c r="AQ80" s="53">
        <f t="shared" si="7"/>
        <v>4</v>
      </c>
      <c r="AS80" s="53">
        <v>1</v>
      </c>
      <c r="AX80" s="53">
        <f t="shared" si="8"/>
        <v>1</v>
      </c>
      <c r="BF80" s="53">
        <v>3</v>
      </c>
      <c r="BG80" s="53">
        <f t="shared" si="9"/>
        <v>3</v>
      </c>
      <c r="BN80" s="53">
        <v>4</v>
      </c>
      <c r="BQ80" s="53">
        <v>2</v>
      </c>
      <c r="BR80" s="53">
        <v>1</v>
      </c>
      <c r="BS80" s="53">
        <f t="shared" si="10"/>
        <v>7</v>
      </c>
      <c r="BU80" s="53">
        <v>2</v>
      </c>
      <c r="BV80" s="53">
        <v>1</v>
      </c>
      <c r="BZ80" s="53">
        <f t="shared" si="11"/>
        <v>3</v>
      </c>
      <c r="CB80" s="71">
        <f t="shared" si="19"/>
        <v>0.13943112102621305</v>
      </c>
      <c r="CI80" s="53">
        <f t="shared" si="12"/>
        <v>0</v>
      </c>
      <c r="CK80" s="66">
        <f t="shared" si="20"/>
        <v>0.051484468851896344</v>
      </c>
      <c r="CL80" s="66"/>
      <c r="CM80" s="66"/>
      <c r="CY80" s="53">
        <v>1</v>
      </c>
      <c r="DL80" s="53">
        <v>1</v>
      </c>
      <c r="DV80" s="66"/>
      <c r="EB80" s="53">
        <v>2</v>
      </c>
      <c r="EC80" s="53">
        <v>2</v>
      </c>
      <c r="ED80" s="53">
        <v>3</v>
      </c>
      <c r="EE80" s="53">
        <v>1</v>
      </c>
    </row>
    <row r="81" spans="4:126" ht="12.75">
      <c r="D81" s="53" t="s">
        <v>308</v>
      </c>
      <c r="E81" s="53">
        <v>3</v>
      </c>
      <c r="K81" s="53">
        <f t="shared" si="4"/>
        <v>0</v>
      </c>
      <c r="R81" s="53">
        <f t="shared" si="22"/>
        <v>0</v>
      </c>
      <c r="Y81" s="53">
        <f t="shared" si="21"/>
        <v>0</v>
      </c>
      <c r="AF81" s="53">
        <f t="shared" si="23"/>
        <v>0</v>
      </c>
      <c r="AH81" s="71">
        <f t="shared" si="24"/>
        <v>0</v>
      </c>
      <c r="AI81" s="66"/>
      <c r="AJ81" s="66"/>
      <c r="AQ81" s="53">
        <f t="shared" si="7"/>
        <v>0</v>
      </c>
      <c r="AX81" s="53">
        <f t="shared" si="8"/>
        <v>0</v>
      </c>
      <c r="BD81" s="53">
        <v>1</v>
      </c>
      <c r="BG81" s="53">
        <f t="shared" si="9"/>
        <v>1</v>
      </c>
      <c r="BS81" s="53">
        <f t="shared" si="10"/>
        <v>0</v>
      </c>
      <c r="BZ81" s="53">
        <f t="shared" si="11"/>
        <v>0</v>
      </c>
      <c r="CB81" s="71">
        <f t="shared" si="19"/>
        <v>0</v>
      </c>
      <c r="CI81" s="53">
        <f t="shared" si="12"/>
        <v>0</v>
      </c>
      <c r="CK81" s="66">
        <f t="shared" si="20"/>
        <v>0.01716148961729878</v>
      </c>
      <c r="CL81" s="66"/>
      <c r="CM81" s="66"/>
      <c r="DV81" s="66"/>
    </row>
    <row r="82" spans="4:126" ht="12.75">
      <c r="D82" s="53" t="s">
        <v>489</v>
      </c>
      <c r="E82" s="53">
        <v>4</v>
      </c>
      <c r="K82" s="53">
        <f t="shared" si="4"/>
        <v>0</v>
      </c>
      <c r="R82" s="53">
        <f t="shared" si="22"/>
        <v>0</v>
      </c>
      <c r="Y82" s="53">
        <f t="shared" si="21"/>
        <v>0</v>
      </c>
      <c r="AF82" s="53">
        <f t="shared" si="23"/>
        <v>0</v>
      </c>
      <c r="AH82" s="71">
        <f t="shared" si="24"/>
        <v>0</v>
      </c>
      <c r="AI82" s="66"/>
      <c r="AJ82" s="66"/>
      <c r="CB82" s="71"/>
      <c r="CK82" s="66"/>
      <c r="CL82" s="66"/>
      <c r="CM82" s="66"/>
      <c r="DV82" s="66"/>
    </row>
    <row r="83" spans="3:126" ht="12.75">
      <c r="C83" s="53" t="s">
        <v>97</v>
      </c>
      <c r="D83" s="53" t="s">
        <v>98</v>
      </c>
      <c r="E83" s="53">
        <v>4</v>
      </c>
      <c r="F83" s="53">
        <v>1</v>
      </c>
      <c r="K83" s="53">
        <f t="shared" si="4"/>
        <v>1</v>
      </c>
      <c r="R83" s="53">
        <f t="shared" si="22"/>
        <v>0</v>
      </c>
      <c r="Y83" s="53">
        <f t="shared" si="21"/>
        <v>0</v>
      </c>
      <c r="AF83" s="53">
        <f t="shared" si="23"/>
        <v>0</v>
      </c>
      <c r="AH83" s="71">
        <f t="shared" si="24"/>
        <v>0.007797270955165692</v>
      </c>
      <c r="AI83" s="66"/>
      <c r="AJ83" s="66"/>
      <c r="AQ83" s="53">
        <f t="shared" si="7"/>
        <v>0</v>
      </c>
      <c r="AX83" s="53">
        <f t="shared" si="8"/>
        <v>0</v>
      </c>
      <c r="BG83" s="53">
        <f t="shared" si="9"/>
        <v>0</v>
      </c>
      <c r="BS83" s="53">
        <f t="shared" si="10"/>
        <v>0</v>
      </c>
      <c r="BZ83" s="53">
        <f t="shared" si="11"/>
        <v>0</v>
      </c>
      <c r="CB83" s="71">
        <f t="shared" si="19"/>
        <v>0</v>
      </c>
      <c r="CI83" s="53">
        <f t="shared" si="12"/>
        <v>0</v>
      </c>
      <c r="CK83" s="66">
        <f t="shared" si="20"/>
        <v>0</v>
      </c>
      <c r="CL83" s="66"/>
      <c r="CM83" s="66"/>
      <c r="DV83" s="66"/>
    </row>
    <row r="84" spans="3:135" ht="12.75">
      <c r="C84" s="53" t="s">
        <v>449</v>
      </c>
      <c r="D84" s="53" t="s">
        <v>450</v>
      </c>
      <c r="E84" s="53">
        <v>2</v>
      </c>
      <c r="K84" s="53">
        <f t="shared" si="4"/>
        <v>0</v>
      </c>
      <c r="R84" s="53">
        <f t="shared" si="22"/>
        <v>0</v>
      </c>
      <c r="Y84" s="53">
        <f t="shared" si="21"/>
        <v>0</v>
      </c>
      <c r="AF84" s="53">
        <f t="shared" si="23"/>
        <v>0</v>
      </c>
      <c r="AH84" s="71">
        <f t="shared" si="24"/>
        <v>0</v>
      </c>
      <c r="AI84" s="66"/>
      <c r="AJ84" s="66"/>
      <c r="CB84" s="71"/>
      <c r="CK84" s="66"/>
      <c r="CL84" s="66"/>
      <c r="CM84" s="66"/>
      <c r="DV84" s="66"/>
      <c r="EE84" s="53">
        <v>1</v>
      </c>
    </row>
    <row r="85" spans="3:126" ht="12.75">
      <c r="C85" s="53" t="s">
        <v>385</v>
      </c>
      <c r="D85" s="53" t="s">
        <v>386</v>
      </c>
      <c r="E85" s="53">
        <v>7</v>
      </c>
      <c r="K85" s="53">
        <f t="shared" si="4"/>
        <v>0</v>
      </c>
      <c r="R85" s="53">
        <f t="shared" si="22"/>
        <v>0</v>
      </c>
      <c r="Y85" s="53">
        <f t="shared" si="21"/>
        <v>0</v>
      </c>
      <c r="AF85" s="53">
        <f t="shared" si="23"/>
        <v>0</v>
      </c>
      <c r="AH85" s="71">
        <f t="shared" si="24"/>
        <v>0</v>
      </c>
      <c r="AI85" s="66"/>
      <c r="AJ85" s="66"/>
      <c r="AQ85" s="53">
        <f t="shared" si="7"/>
        <v>0</v>
      </c>
      <c r="AX85" s="53">
        <f t="shared" si="8"/>
        <v>0</v>
      </c>
      <c r="BG85" s="53">
        <f t="shared" si="9"/>
        <v>0</v>
      </c>
      <c r="BS85" s="53">
        <f t="shared" si="10"/>
        <v>0</v>
      </c>
      <c r="BW85" s="53">
        <v>1</v>
      </c>
      <c r="BZ85" s="53">
        <f t="shared" si="11"/>
        <v>1</v>
      </c>
      <c r="CB85" s="71">
        <f>100*SUM($AL85:$AP85,$AS85:$AW85,$BN85:$BR85,$BU85:$BY85)/SUM($AQ$169,$AX$169,$BS$169,$BZ$169)</f>
        <v>0.009295408068414203</v>
      </c>
      <c r="CI85" s="53">
        <f t="shared" si="12"/>
        <v>0</v>
      </c>
      <c r="CK85" s="66">
        <f>100*(BG85+CI85)/($BG$169+$CI$169)</f>
        <v>0</v>
      </c>
      <c r="CL85" s="66"/>
      <c r="CM85" s="66"/>
      <c r="DV85" s="66"/>
    </row>
    <row r="86" spans="3:135" ht="12.75">
      <c r="C86" s="53" t="s">
        <v>81</v>
      </c>
      <c r="D86" s="53" t="s">
        <v>442</v>
      </c>
      <c r="E86" s="53">
        <v>6</v>
      </c>
      <c r="F86" s="53">
        <v>1</v>
      </c>
      <c r="K86" s="53">
        <f aca="true" t="shared" si="25" ref="K86:K149">SUM(F86:J86)</f>
        <v>1</v>
      </c>
      <c r="P86" s="53">
        <v>1</v>
      </c>
      <c r="Q86" s="53">
        <v>1</v>
      </c>
      <c r="R86" s="53">
        <f t="shared" si="22"/>
        <v>2</v>
      </c>
      <c r="T86" s="53">
        <v>1</v>
      </c>
      <c r="U86" s="53">
        <v>2</v>
      </c>
      <c r="V86" s="53">
        <v>5</v>
      </c>
      <c r="W86" s="53">
        <v>1</v>
      </c>
      <c r="X86" s="53">
        <v>3</v>
      </c>
      <c r="Y86" s="53">
        <f t="shared" si="21"/>
        <v>12</v>
      </c>
      <c r="AA86" s="53">
        <v>5</v>
      </c>
      <c r="AB86" s="53">
        <v>2</v>
      </c>
      <c r="AC86" s="53">
        <v>7</v>
      </c>
      <c r="AD86" s="53">
        <v>1</v>
      </c>
      <c r="AF86" s="53">
        <f t="shared" si="23"/>
        <v>15</v>
      </c>
      <c r="AH86" s="71">
        <f t="shared" si="24"/>
        <v>0.23391812865497075</v>
      </c>
      <c r="AI86" s="66"/>
      <c r="AJ86" s="66"/>
      <c r="AQ86" s="53">
        <f aca="true" t="shared" si="26" ref="AQ86:AQ168">SUM(AL86:AP86)</f>
        <v>0</v>
      </c>
      <c r="AS86" s="53">
        <v>4</v>
      </c>
      <c r="AV86" s="53">
        <v>7</v>
      </c>
      <c r="AW86" s="53">
        <v>1</v>
      </c>
      <c r="AX86" s="53">
        <f aca="true" t="shared" si="27" ref="AX86:AX168">SUM(AS86:AW86)</f>
        <v>12</v>
      </c>
      <c r="BC86" s="53">
        <v>2</v>
      </c>
      <c r="BF86" s="53">
        <v>1</v>
      </c>
      <c r="BG86" s="53">
        <f aca="true" t="shared" si="28" ref="BG86:BG168">SUM(BB86:BF86)</f>
        <v>3</v>
      </c>
      <c r="BP86" s="53">
        <v>1</v>
      </c>
      <c r="BQ86" s="53">
        <v>2</v>
      </c>
      <c r="BR86" s="53">
        <v>1</v>
      </c>
      <c r="BS86" s="53">
        <f aca="true" t="shared" si="29" ref="BS86:BS168">SUM(BN86:BR86)</f>
        <v>4</v>
      </c>
      <c r="BU86" s="53">
        <v>3</v>
      </c>
      <c r="BV86" s="53">
        <v>10</v>
      </c>
      <c r="BW86" s="53">
        <v>5</v>
      </c>
      <c r="BX86" s="53">
        <v>6</v>
      </c>
      <c r="BY86" s="53">
        <v>9</v>
      </c>
      <c r="BZ86" s="53">
        <f aca="true" t="shared" si="30" ref="BZ86:BZ168">SUM(BU86:BY86)</f>
        <v>33</v>
      </c>
      <c r="CB86" s="71">
        <f>100*SUM($AL86:$AP86,$AS86:$AW86,$BN86:$BR86,$BU86:$BY86)/SUM($AQ$169,$AX$169,$BS$169,$BZ$169)</f>
        <v>0.45547499535229596</v>
      </c>
      <c r="CF86" s="53">
        <v>1</v>
      </c>
      <c r="CH86" s="53">
        <v>2</v>
      </c>
      <c r="CI86" s="53">
        <f aca="true" t="shared" si="31" ref="CI86:CI168">SUM(CD86:CH86)</f>
        <v>3</v>
      </c>
      <c r="CK86" s="66">
        <f>100*(BG86+CI86)/($BG$169+$CI$169)</f>
        <v>0.10296893770379269</v>
      </c>
      <c r="CL86" s="66"/>
      <c r="CM86" s="66"/>
      <c r="CY86" s="53">
        <v>8</v>
      </c>
      <c r="DA86" s="53">
        <v>2</v>
      </c>
      <c r="DB86" s="53">
        <v>1</v>
      </c>
      <c r="DC86" s="53">
        <v>4</v>
      </c>
      <c r="DQ86" s="53">
        <v>2</v>
      </c>
      <c r="DS86" s="53">
        <v>1</v>
      </c>
      <c r="DT86" s="53">
        <v>3</v>
      </c>
      <c r="DU86" s="53">
        <v>2</v>
      </c>
      <c r="DV86" s="66"/>
      <c r="EA86" s="53">
        <v>3</v>
      </c>
      <c r="EB86" s="53">
        <v>2</v>
      </c>
      <c r="EC86" s="53">
        <v>4</v>
      </c>
      <c r="ED86" s="53">
        <v>2</v>
      </c>
      <c r="EE86" s="53">
        <v>10</v>
      </c>
    </row>
    <row r="87" spans="4:126" ht="12.75">
      <c r="D87" s="53" t="s">
        <v>443</v>
      </c>
      <c r="E87" s="53">
        <v>6</v>
      </c>
      <c r="K87" s="53">
        <f t="shared" si="25"/>
        <v>0</v>
      </c>
      <c r="R87" s="53">
        <f t="shared" si="22"/>
        <v>0</v>
      </c>
      <c r="Y87" s="53">
        <f t="shared" si="21"/>
        <v>0</v>
      </c>
      <c r="AF87" s="53">
        <f t="shared" si="23"/>
        <v>0</v>
      </c>
      <c r="AH87" s="71">
        <f t="shared" si="24"/>
        <v>0</v>
      </c>
      <c r="AI87" s="66"/>
      <c r="AJ87" s="66"/>
      <c r="CB87" s="71"/>
      <c r="CK87" s="66"/>
      <c r="CL87" s="66"/>
      <c r="CM87" s="66"/>
      <c r="CY87" s="53">
        <v>3</v>
      </c>
      <c r="DR87" s="53">
        <v>1</v>
      </c>
      <c r="DV87" s="66"/>
    </row>
    <row r="88" spans="3:126" ht="12.75">
      <c r="C88" s="53" t="s">
        <v>304</v>
      </c>
      <c r="D88" s="53" t="s">
        <v>305</v>
      </c>
      <c r="E88" s="53">
        <v>6</v>
      </c>
      <c r="K88" s="53">
        <f t="shared" si="25"/>
        <v>0</v>
      </c>
      <c r="R88" s="53">
        <f t="shared" si="22"/>
        <v>0</v>
      </c>
      <c r="Y88" s="53">
        <f t="shared" si="21"/>
        <v>0</v>
      </c>
      <c r="AF88" s="53">
        <f t="shared" si="23"/>
        <v>0</v>
      </c>
      <c r="AH88" s="71">
        <f t="shared" si="24"/>
        <v>0</v>
      </c>
      <c r="AI88" s="66"/>
      <c r="AJ88" s="66"/>
      <c r="AQ88" s="53">
        <f t="shared" si="26"/>
        <v>0</v>
      </c>
      <c r="AV88" s="53">
        <v>1</v>
      </c>
      <c r="AX88" s="53">
        <f t="shared" si="27"/>
        <v>1</v>
      </c>
      <c r="BG88" s="53">
        <f t="shared" si="28"/>
        <v>0</v>
      </c>
      <c r="BS88" s="53">
        <f t="shared" si="29"/>
        <v>0</v>
      </c>
      <c r="BZ88" s="53">
        <f t="shared" si="30"/>
        <v>0</v>
      </c>
      <c r="CB88" s="71">
        <f aca="true" t="shared" si="32" ref="CB88:CB95">100*SUM($AL88:$AP88,$AS88:$AW88,$BN88:$BR88,$BU88:$BY88)/SUM($AQ$169,$AX$169,$BS$169,$BZ$169)</f>
        <v>0.009295408068414203</v>
      </c>
      <c r="CI88" s="53">
        <f t="shared" si="31"/>
        <v>0</v>
      </c>
      <c r="CK88" s="66">
        <f aca="true" t="shared" si="33" ref="CK88:CK95">100*(BG88+CI88)/($BG$169+$CI$169)</f>
        <v>0</v>
      </c>
      <c r="CL88" s="66"/>
      <c r="CM88" s="66"/>
      <c r="DV88" s="66"/>
    </row>
    <row r="89" spans="3:135" ht="12.75">
      <c r="C89" s="53" t="s">
        <v>33</v>
      </c>
      <c r="D89" s="53" t="s">
        <v>34</v>
      </c>
      <c r="E89" s="53">
        <v>4</v>
      </c>
      <c r="H89" s="53">
        <v>1</v>
      </c>
      <c r="I89" s="53">
        <v>2</v>
      </c>
      <c r="K89" s="53">
        <f t="shared" si="25"/>
        <v>3</v>
      </c>
      <c r="O89" s="53">
        <v>1</v>
      </c>
      <c r="P89" s="53">
        <v>1</v>
      </c>
      <c r="Q89" s="53">
        <v>1</v>
      </c>
      <c r="R89" s="53">
        <f t="shared" si="22"/>
        <v>3</v>
      </c>
      <c r="T89" s="53">
        <v>1</v>
      </c>
      <c r="U89" s="53">
        <v>1</v>
      </c>
      <c r="V89" s="53">
        <v>1</v>
      </c>
      <c r="X89" s="53">
        <v>2</v>
      </c>
      <c r="Y89" s="53">
        <f t="shared" si="21"/>
        <v>5</v>
      </c>
      <c r="AA89" s="53">
        <v>2</v>
      </c>
      <c r="AB89" s="53">
        <v>1</v>
      </c>
      <c r="AF89" s="53">
        <f t="shared" si="23"/>
        <v>3</v>
      </c>
      <c r="AH89" s="71">
        <f t="shared" si="24"/>
        <v>0.10916179337231968</v>
      </c>
      <c r="AI89" s="66"/>
      <c r="AJ89" s="66"/>
      <c r="AL89" s="53">
        <v>3</v>
      </c>
      <c r="AN89" s="53">
        <v>3</v>
      </c>
      <c r="AO89" s="53">
        <v>2</v>
      </c>
      <c r="AP89" s="53">
        <v>2</v>
      </c>
      <c r="AQ89" s="53">
        <f t="shared" si="26"/>
        <v>10</v>
      </c>
      <c r="AS89" s="53">
        <v>11</v>
      </c>
      <c r="AT89" s="53">
        <v>4</v>
      </c>
      <c r="AU89" s="53">
        <v>4</v>
      </c>
      <c r="AV89" s="53">
        <v>4</v>
      </c>
      <c r="AX89" s="53">
        <f t="shared" si="27"/>
        <v>23</v>
      </c>
      <c r="BB89" s="53">
        <v>9</v>
      </c>
      <c r="BC89" s="53">
        <v>5</v>
      </c>
      <c r="BD89" s="53">
        <v>2</v>
      </c>
      <c r="BE89" s="53">
        <v>1</v>
      </c>
      <c r="BF89" s="53">
        <v>4</v>
      </c>
      <c r="BG89" s="53">
        <f t="shared" si="28"/>
        <v>21</v>
      </c>
      <c r="BN89" s="53">
        <v>10</v>
      </c>
      <c r="BO89" s="53">
        <v>2</v>
      </c>
      <c r="BP89" s="53">
        <v>4</v>
      </c>
      <c r="BQ89" s="53">
        <v>10</v>
      </c>
      <c r="BR89" s="53">
        <v>1</v>
      </c>
      <c r="BS89" s="53">
        <f t="shared" si="29"/>
        <v>27</v>
      </c>
      <c r="BU89" s="53">
        <v>32</v>
      </c>
      <c r="BV89" s="53">
        <v>6</v>
      </c>
      <c r="BW89" s="53">
        <v>11</v>
      </c>
      <c r="BX89" s="53">
        <v>2</v>
      </c>
      <c r="BY89" s="53">
        <v>12</v>
      </c>
      <c r="BZ89" s="53">
        <f t="shared" si="30"/>
        <v>63</v>
      </c>
      <c r="CB89" s="71">
        <f t="shared" si="32"/>
        <v>1.143335192414947</v>
      </c>
      <c r="CD89" s="53">
        <v>34</v>
      </c>
      <c r="CE89" s="53">
        <v>4</v>
      </c>
      <c r="CF89" s="53">
        <v>2</v>
      </c>
      <c r="CG89" s="53">
        <v>1</v>
      </c>
      <c r="CH89" s="53">
        <v>1</v>
      </c>
      <c r="CI89" s="53">
        <f t="shared" si="31"/>
        <v>42</v>
      </c>
      <c r="CK89" s="66">
        <f t="shared" si="33"/>
        <v>1.0811738458898232</v>
      </c>
      <c r="CL89" s="66"/>
      <c r="CM89" s="66"/>
      <c r="CP89" s="53">
        <v>3</v>
      </c>
      <c r="CQ89" s="53">
        <v>1</v>
      </c>
      <c r="CR89" s="53">
        <v>1</v>
      </c>
      <c r="CY89" s="53">
        <v>3</v>
      </c>
      <c r="DA89" s="53">
        <v>2</v>
      </c>
      <c r="DB89" s="53">
        <v>4</v>
      </c>
      <c r="DC89" s="53">
        <v>8</v>
      </c>
      <c r="DH89" s="53">
        <v>2</v>
      </c>
      <c r="DI89" s="53">
        <v>3</v>
      </c>
      <c r="DJ89" s="53">
        <v>11</v>
      </c>
      <c r="DK89" s="53">
        <v>8</v>
      </c>
      <c r="DL89" s="53">
        <v>34</v>
      </c>
      <c r="DQ89" s="53">
        <v>1</v>
      </c>
      <c r="DR89" s="53">
        <v>3</v>
      </c>
      <c r="DS89" s="53">
        <v>1</v>
      </c>
      <c r="DT89" s="53">
        <v>1</v>
      </c>
      <c r="DU89" s="53">
        <v>1</v>
      </c>
      <c r="DV89" s="66"/>
      <c r="EA89" s="53">
        <v>1</v>
      </c>
      <c r="EB89" s="53">
        <v>7</v>
      </c>
      <c r="EC89" s="53">
        <v>7</v>
      </c>
      <c r="ED89" s="53">
        <v>6</v>
      </c>
      <c r="EE89" s="53">
        <v>1</v>
      </c>
    </row>
    <row r="90" spans="3:135" ht="12.75">
      <c r="C90" s="53" t="s">
        <v>125</v>
      </c>
      <c r="D90" s="53" t="s">
        <v>126</v>
      </c>
      <c r="E90" s="53">
        <v>6</v>
      </c>
      <c r="I90" s="53">
        <v>1</v>
      </c>
      <c r="K90" s="53">
        <f t="shared" si="25"/>
        <v>1</v>
      </c>
      <c r="R90" s="53">
        <f t="shared" si="22"/>
        <v>0</v>
      </c>
      <c r="Y90" s="53">
        <f t="shared" si="21"/>
        <v>0</v>
      </c>
      <c r="AB90" s="53">
        <v>1</v>
      </c>
      <c r="AC90" s="53">
        <v>1</v>
      </c>
      <c r="AF90" s="53">
        <f t="shared" si="23"/>
        <v>2</v>
      </c>
      <c r="AH90" s="71">
        <f t="shared" si="24"/>
        <v>0.023391812865497075</v>
      </c>
      <c r="AI90" s="66"/>
      <c r="AJ90" s="66"/>
      <c r="AL90" s="53">
        <v>28</v>
      </c>
      <c r="AM90" s="53">
        <v>10</v>
      </c>
      <c r="AN90" s="53">
        <v>4</v>
      </c>
      <c r="AQ90" s="53">
        <f t="shared" si="26"/>
        <v>42</v>
      </c>
      <c r="AT90" s="53">
        <v>8</v>
      </c>
      <c r="AU90" s="53">
        <v>6</v>
      </c>
      <c r="AW90" s="53">
        <v>3</v>
      </c>
      <c r="AX90" s="53">
        <f t="shared" si="27"/>
        <v>17</v>
      </c>
      <c r="BC90" s="53">
        <v>1</v>
      </c>
      <c r="BD90" s="53">
        <v>2</v>
      </c>
      <c r="BE90" s="53">
        <v>3</v>
      </c>
      <c r="BG90" s="53">
        <f t="shared" si="28"/>
        <v>6</v>
      </c>
      <c r="BN90" s="53">
        <v>1</v>
      </c>
      <c r="BP90" s="53">
        <v>1</v>
      </c>
      <c r="BQ90" s="53">
        <v>12</v>
      </c>
      <c r="BR90" s="53">
        <v>1</v>
      </c>
      <c r="BS90" s="53">
        <f t="shared" si="29"/>
        <v>15</v>
      </c>
      <c r="BU90" s="53">
        <v>7</v>
      </c>
      <c r="BV90" s="53">
        <v>5</v>
      </c>
      <c r="BW90" s="53">
        <v>9</v>
      </c>
      <c r="BX90" s="53">
        <v>1</v>
      </c>
      <c r="BY90" s="53">
        <v>6</v>
      </c>
      <c r="BZ90" s="53">
        <f t="shared" si="30"/>
        <v>28</v>
      </c>
      <c r="CB90" s="71">
        <f t="shared" si="32"/>
        <v>0.9481316229782487</v>
      </c>
      <c r="CF90" s="53">
        <v>1</v>
      </c>
      <c r="CG90" s="53">
        <v>2</v>
      </c>
      <c r="CH90" s="53">
        <v>1</v>
      </c>
      <c r="CI90" s="53">
        <f t="shared" si="31"/>
        <v>4</v>
      </c>
      <c r="CK90" s="66">
        <f t="shared" si="33"/>
        <v>0.1716148961729878</v>
      </c>
      <c r="CL90" s="66"/>
      <c r="CM90" s="66"/>
      <c r="CS90" s="53">
        <v>3</v>
      </c>
      <c r="CT90" s="53">
        <v>4</v>
      </c>
      <c r="DJ90" s="53">
        <v>1</v>
      </c>
      <c r="DQ90" s="53">
        <v>1</v>
      </c>
      <c r="DV90" s="66"/>
      <c r="EB90" s="53">
        <v>1</v>
      </c>
      <c r="EE90" s="53">
        <v>1</v>
      </c>
    </row>
    <row r="91" spans="3:135" ht="12.75">
      <c r="C91" s="53" t="s">
        <v>201</v>
      </c>
      <c r="D91" s="53" t="s">
        <v>202</v>
      </c>
      <c r="E91" s="53">
        <v>6</v>
      </c>
      <c r="K91" s="53">
        <f t="shared" si="25"/>
        <v>0</v>
      </c>
      <c r="R91" s="53">
        <f t="shared" si="22"/>
        <v>0</v>
      </c>
      <c r="W91" s="53">
        <v>1</v>
      </c>
      <c r="Y91" s="53">
        <f t="shared" si="21"/>
        <v>1</v>
      </c>
      <c r="AB91" s="53">
        <v>1</v>
      </c>
      <c r="AF91" s="53">
        <f t="shared" si="23"/>
        <v>1</v>
      </c>
      <c r="AH91" s="71">
        <f t="shared" si="24"/>
        <v>0.015594541910331383</v>
      </c>
      <c r="AI91" s="66"/>
      <c r="AJ91" s="66"/>
      <c r="AM91" s="53">
        <v>2</v>
      </c>
      <c r="AN91" s="53">
        <v>1</v>
      </c>
      <c r="AQ91" s="53">
        <f t="shared" si="26"/>
        <v>3</v>
      </c>
      <c r="AX91" s="53">
        <f t="shared" si="27"/>
        <v>0</v>
      </c>
      <c r="BB91" s="53">
        <v>2</v>
      </c>
      <c r="BE91" s="53">
        <v>2</v>
      </c>
      <c r="BF91" s="53">
        <v>3</v>
      </c>
      <c r="BG91" s="53">
        <f t="shared" si="28"/>
        <v>7</v>
      </c>
      <c r="BN91" s="53">
        <v>1</v>
      </c>
      <c r="BO91" s="53">
        <v>2</v>
      </c>
      <c r="BP91" s="53">
        <v>3</v>
      </c>
      <c r="BQ91" s="53">
        <v>1</v>
      </c>
      <c r="BS91" s="53">
        <f t="shared" si="29"/>
        <v>7</v>
      </c>
      <c r="BW91" s="53">
        <v>1</v>
      </c>
      <c r="BX91" s="53">
        <v>1</v>
      </c>
      <c r="BY91" s="53">
        <v>1</v>
      </c>
      <c r="BZ91" s="53">
        <f t="shared" si="30"/>
        <v>3</v>
      </c>
      <c r="CB91" s="71">
        <f t="shared" si="32"/>
        <v>0.12084030488938464</v>
      </c>
      <c r="CD91" s="53">
        <v>4</v>
      </c>
      <c r="CE91" s="53">
        <v>1</v>
      </c>
      <c r="CF91" s="53">
        <v>4</v>
      </c>
      <c r="CG91" s="53">
        <v>10</v>
      </c>
      <c r="CH91" s="53">
        <v>1</v>
      </c>
      <c r="CI91" s="53">
        <f t="shared" si="31"/>
        <v>20</v>
      </c>
      <c r="CK91" s="66">
        <f t="shared" si="33"/>
        <v>0.4633602196670671</v>
      </c>
      <c r="CL91" s="66"/>
      <c r="CM91" s="66"/>
      <c r="CR91" s="53">
        <v>1</v>
      </c>
      <c r="CT91" s="53">
        <v>1</v>
      </c>
      <c r="CY91" s="53">
        <v>1</v>
      </c>
      <c r="CZ91" s="53">
        <v>1</v>
      </c>
      <c r="DA91" s="53">
        <v>2</v>
      </c>
      <c r="DB91" s="53">
        <v>1</v>
      </c>
      <c r="DC91" s="53">
        <v>1</v>
      </c>
      <c r="DH91" s="53">
        <v>1</v>
      </c>
      <c r="DI91" s="53">
        <v>1</v>
      </c>
      <c r="DJ91" s="53">
        <v>2</v>
      </c>
      <c r="DK91" s="53">
        <v>2</v>
      </c>
      <c r="DL91" s="53">
        <v>10</v>
      </c>
      <c r="DU91" s="53">
        <v>1</v>
      </c>
      <c r="DV91" s="66"/>
      <c r="EA91" s="53">
        <v>5</v>
      </c>
      <c r="EC91" s="53">
        <v>1</v>
      </c>
      <c r="EE91" s="53">
        <v>2</v>
      </c>
    </row>
    <row r="92" spans="4:126" ht="12.75">
      <c r="D92" s="53" t="s">
        <v>542</v>
      </c>
      <c r="E92" s="53">
        <v>6</v>
      </c>
      <c r="K92" s="53">
        <f t="shared" si="25"/>
        <v>0</v>
      </c>
      <c r="R92" s="53">
        <f t="shared" si="22"/>
        <v>0</v>
      </c>
      <c r="Y92" s="53">
        <f t="shared" si="21"/>
        <v>0</v>
      </c>
      <c r="AF92" s="53">
        <f t="shared" si="23"/>
        <v>0</v>
      </c>
      <c r="AH92" s="71">
        <f t="shared" si="24"/>
        <v>0</v>
      </c>
      <c r="AI92" s="66"/>
      <c r="AJ92" s="66"/>
      <c r="CB92" s="71"/>
      <c r="CK92" s="66"/>
      <c r="CL92" s="66"/>
      <c r="CM92" s="66"/>
      <c r="DV92" s="66"/>
    </row>
    <row r="93" spans="4:126" ht="12.75">
      <c r="D93" s="53" t="s">
        <v>493</v>
      </c>
      <c r="E93" s="53">
        <v>6</v>
      </c>
      <c r="K93" s="53">
        <f t="shared" si="25"/>
        <v>0</v>
      </c>
      <c r="R93" s="53">
        <f t="shared" si="22"/>
        <v>0</v>
      </c>
      <c r="Y93" s="53">
        <f t="shared" si="21"/>
        <v>0</v>
      </c>
      <c r="AF93" s="53">
        <f t="shared" si="23"/>
        <v>0</v>
      </c>
      <c r="AH93" s="71">
        <f t="shared" si="24"/>
        <v>0</v>
      </c>
      <c r="AI93" s="66"/>
      <c r="AJ93" s="66"/>
      <c r="CB93" s="71"/>
      <c r="CK93" s="66"/>
      <c r="CL93" s="66"/>
      <c r="CM93" s="66"/>
      <c r="DV93" s="66"/>
    </row>
    <row r="94" spans="3:126" ht="12.75">
      <c r="C94" s="53" t="s">
        <v>121</v>
      </c>
      <c r="D94" s="53" t="s">
        <v>129</v>
      </c>
      <c r="E94" s="53">
        <v>5</v>
      </c>
      <c r="I94" s="53">
        <v>2</v>
      </c>
      <c r="K94" s="53">
        <f t="shared" si="25"/>
        <v>2</v>
      </c>
      <c r="R94" s="53">
        <f t="shared" si="22"/>
        <v>0</v>
      </c>
      <c r="Y94" s="53">
        <f t="shared" si="21"/>
        <v>0</v>
      </c>
      <c r="AF94" s="53">
        <f t="shared" si="23"/>
        <v>0</v>
      </c>
      <c r="AH94" s="71">
        <f t="shared" si="24"/>
        <v>0.015594541910331383</v>
      </c>
      <c r="AI94" s="66"/>
      <c r="AJ94" s="66"/>
      <c r="AO94" s="53">
        <v>2</v>
      </c>
      <c r="AQ94" s="53">
        <f t="shared" si="26"/>
        <v>2</v>
      </c>
      <c r="AW94" s="53">
        <v>1</v>
      </c>
      <c r="AX94" s="53">
        <f t="shared" si="27"/>
        <v>1</v>
      </c>
      <c r="BG94" s="53">
        <f t="shared" si="28"/>
        <v>0</v>
      </c>
      <c r="BS94" s="53">
        <f t="shared" si="29"/>
        <v>0</v>
      </c>
      <c r="BZ94" s="53">
        <f t="shared" si="30"/>
        <v>0</v>
      </c>
      <c r="CB94" s="71">
        <f t="shared" si="32"/>
        <v>0.02788622420524261</v>
      </c>
      <c r="CI94" s="53">
        <f t="shared" si="31"/>
        <v>0</v>
      </c>
      <c r="CK94" s="66">
        <f t="shared" si="33"/>
        <v>0</v>
      </c>
      <c r="CL94" s="66"/>
      <c r="CM94" s="66"/>
      <c r="DV94" s="66"/>
    </row>
    <row r="95" spans="4:132" ht="12.75">
      <c r="D95" s="53" t="s">
        <v>122</v>
      </c>
      <c r="E95" s="53">
        <v>1</v>
      </c>
      <c r="H95" s="53">
        <v>1</v>
      </c>
      <c r="I95" s="53">
        <v>2</v>
      </c>
      <c r="J95" s="53">
        <v>2</v>
      </c>
      <c r="K95" s="53">
        <f t="shared" si="25"/>
        <v>5</v>
      </c>
      <c r="N95" s="53">
        <v>1</v>
      </c>
      <c r="Q95" s="53">
        <v>2</v>
      </c>
      <c r="R95" s="53">
        <f t="shared" si="22"/>
        <v>3</v>
      </c>
      <c r="Y95" s="53">
        <f t="shared" si="21"/>
        <v>0</v>
      </c>
      <c r="AF95" s="53">
        <f t="shared" si="23"/>
        <v>0</v>
      </c>
      <c r="AH95" s="71">
        <f t="shared" si="24"/>
        <v>0.06237816764132553</v>
      </c>
      <c r="AI95" s="66"/>
      <c r="AJ95" s="66"/>
      <c r="AL95" s="53">
        <v>5</v>
      </c>
      <c r="AN95" s="53">
        <v>1</v>
      </c>
      <c r="AO95" s="53">
        <v>3</v>
      </c>
      <c r="AP95" s="53">
        <v>1</v>
      </c>
      <c r="AQ95" s="53">
        <f t="shared" si="26"/>
        <v>10</v>
      </c>
      <c r="AS95" s="53">
        <v>7</v>
      </c>
      <c r="AT95" s="53">
        <v>6</v>
      </c>
      <c r="AU95" s="53">
        <v>2</v>
      </c>
      <c r="AV95" s="53">
        <v>2</v>
      </c>
      <c r="AW95" s="53">
        <v>5</v>
      </c>
      <c r="AX95" s="53">
        <f t="shared" si="27"/>
        <v>22</v>
      </c>
      <c r="BB95" s="53">
        <v>1</v>
      </c>
      <c r="BC95" s="53">
        <v>3</v>
      </c>
      <c r="BD95" s="53">
        <v>1</v>
      </c>
      <c r="BF95" s="53">
        <v>2</v>
      </c>
      <c r="BG95" s="53">
        <f t="shared" si="28"/>
        <v>7</v>
      </c>
      <c r="BN95" s="53">
        <v>7</v>
      </c>
      <c r="BO95" s="53">
        <v>7</v>
      </c>
      <c r="BP95" s="53">
        <v>3</v>
      </c>
      <c r="BQ95" s="53">
        <v>3</v>
      </c>
      <c r="BR95" s="53">
        <v>3</v>
      </c>
      <c r="BS95" s="53">
        <f t="shared" si="29"/>
        <v>23</v>
      </c>
      <c r="BU95" s="53">
        <v>14</v>
      </c>
      <c r="BW95" s="53">
        <v>1</v>
      </c>
      <c r="BX95" s="53">
        <v>1</v>
      </c>
      <c r="BZ95" s="53">
        <f t="shared" si="30"/>
        <v>16</v>
      </c>
      <c r="CB95" s="71">
        <f t="shared" si="32"/>
        <v>0.6599739728574084</v>
      </c>
      <c r="CD95" s="53">
        <v>7</v>
      </c>
      <c r="CE95" s="53">
        <v>2</v>
      </c>
      <c r="CH95" s="53">
        <v>1</v>
      </c>
      <c r="CI95" s="53">
        <f t="shared" si="31"/>
        <v>10</v>
      </c>
      <c r="CK95" s="66">
        <f t="shared" si="33"/>
        <v>0.2917453234940793</v>
      </c>
      <c r="CL95" s="66"/>
      <c r="CM95" s="66"/>
      <c r="CQ95" s="53">
        <v>4</v>
      </c>
      <c r="CR95" s="53">
        <v>2</v>
      </c>
      <c r="CS95" s="53">
        <v>1</v>
      </c>
      <c r="CY95" s="53">
        <v>2</v>
      </c>
      <c r="DA95" s="53">
        <v>2</v>
      </c>
      <c r="DC95" s="53">
        <v>2</v>
      </c>
      <c r="DJ95" s="53">
        <v>1</v>
      </c>
      <c r="DK95" s="53">
        <v>2</v>
      </c>
      <c r="DQ95" s="53">
        <v>3</v>
      </c>
      <c r="DT95" s="53">
        <v>3</v>
      </c>
      <c r="DU95" s="53">
        <v>3</v>
      </c>
      <c r="DV95" s="66"/>
      <c r="EB95" s="53">
        <v>1</v>
      </c>
    </row>
    <row r="96" spans="4:131" ht="12.75">
      <c r="D96" s="53" t="s">
        <v>534</v>
      </c>
      <c r="E96" s="53">
        <v>2</v>
      </c>
      <c r="K96" s="53">
        <f t="shared" si="25"/>
        <v>0</v>
      </c>
      <c r="R96" s="53">
        <f t="shared" si="22"/>
        <v>0</v>
      </c>
      <c r="Y96" s="53">
        <f t="shared" si="21"/>
        <v>0</v>
      </c>
      <c r="AF96" s="53">
        <f t="shared" si="23"/>
        <v>0</v>
      </c>
      <c r="AH96" s="71">
        <f t="shared" si="24"/>
        <v>0</v>
      </c>
      <c r="AI96" s="66"/>
      <c r="AJ96" s="66"/>
      <c r="CB96" s="71"/>
      <c r="CK96" s="66"/>
      <c r="CL96" s="66"/>
      <c r="CM96" s="66"/>
      <c r="CY96" s="53">
        <v>3</v>
      </c>
      <c r="DA96" s="53">
        <v>2</v>
      </c>
      <c r="DS96" s="53">
        <v>2</v>
      </c>
      <c r="DV96" s="66"/>
      <c r="EA96" s="53">
        <v>1</v>
      </c>
    </row>
    <row r="97" spans="3:126" ht="12.75">
      <c r="C97" s="53" t="s">
        <v>143</v>
      </c>
      <c r="D97" s="53" t="s">
        <v>144</v>
      </c>
      <c r="E97" s="53">
        <v>4</v>
      </c>
      <c r="K97" s="53">
        <f t="shared" si="25"/>
        <v>0</v>
      </c>
      <c r="P97" s="53">
        <v>3</v>
      </c>
      <c r="R97" s="53">
        <f t="shared" si="22"/>
        <v>3</v>
      </c>
      <c r="W97" s="53">
        <v>1</v>
      </c>
      <c r="Y97" s="53">
        <f t="shared" si="21"/>
        <v>1</v>
      </c>
      <c r="AD97" s="53">
        <v>1</v>
      </c>
      <c r="AF97" s="53">
        <f t="shared" si="23"/>
        <v>1</v>
      </c>
      <c r="AH97" s="71">
        <f t="shared" si="24"/>
        <v>0.03898635477582846</v>
      </c>
      <c r="AI97" s="66"/>
      <c r="AJ97" s="66"/>
      <c r="AQ97" s="53">
        <f t="shared" si="26"/>
        <v>0</v>
      </c>
      <c r="AX97" s="53">
        <f t="shared" si="27"/>
        <v>0</v>
      </c>
      <c r="BG97" s="53">
        <f t="shared" si="28"/>
        <v>0</v>
      </c>
      <c r="BS97" s="53">
        <f t="shared" si="29"/>
        <v>0</v>
      </c>
      <c r="BZ97" s="53">
        <f t="shared" si="30"/>
        <v>0</v>
      </c>
      <c r="CB97" s="71">
        <f>100*SUM($AL97:$AP97,$AS97:$AW97,$BN97:$BR97,$BU97:$BY97)/SUM($AQ$169,$AX$169,$BS$169,$BZ$169)</f>
        <v>0</v>
      </c>
      <c r="CI97" s="53">
        <f t="shared" si="31"/>
        <v>0</v>
      </c>
      <c r="CK97" s="66">
        <f>100*(BG97+CI97)/($BG$169+$CI$169)</f>
        <v>0</v>
      </c>
      <c r="CL97" s="66"/>
      <c r="CM97" s="66"/>
      <c r="DV97" s="66"/>
    </row>
    <row r="98" spans="4:126" ht="12.75">
      <c r="D98" s="53" t="s">
        <v>399</v>
      </c>
      <c r="E98" s="53">
        <v>7</v>
      </c>
      <c r="K98" s="53">
        <f t="shared" si="25"/>
        <v>0</v>
      </c>
      <c r="R98" s="53">
        <f t="shared" si="22"/>
        <v>0</v>
      </c>
      <c r="Y98" s="53">
        <f t="shared" si="21"/>
        <v>0</v>
      </c>
      <c r="AF98" s="53">
        <f t="shared" si="23"/>
        <v>0</v>
      </c>
      <c r="AH98" s="71">
        <f t="shared" si="24"/>
        <v>0</v>
      </c>
      <c r="AI98" s="66"/>
      <c r="AJ98" s="66"/>
      <c r="AQ98" s="53">
        <f t="shared" si="26"/>
        <v>0</v>
      </c>
      <c r="AX98" s="53">
        <f t="shared" si="27"/>
        <v>0</v>
      </c>
      <c r="BG98" s="53">
        <f t="shared" si="28"/>
        <v>0</v>
      </c>
      <c r="BS98" s="53">
        <f t="shared" si="29"/>
        <v>0</v>
      </c>
      <c r="BZ98" s="53">
        <f t="shared" si="30"/>
        <v>0</v>
      </c>
      <c r="CB98" s="71">
        <f>100*SUM($AL98:$AP98,$AS98:$AW98,$BN98:$BR98,$BU98:$BY98)/SUM($AQ$169,$AX$169,$BS$169,$BZ$169)</f>
        <v>0</v>
      </c>
      <c r="CH98" s="53">
        <v>1</v>
      </c>
      <c r="CI98" s="53">
        <f t="shared" si="31"/>
        <v>1</v>
      </c>
      <c r="CK98" s="66">
        <f>100*(BG98+CI98)/($BG$169+$CI$169)</f>
        <v>0.01716148961729878</v>
      </c>
      <c r="CL98" s="66"/>
      <c r="CM98" s="66"/>
      <c r="DV98" s="66"/>
    </row>
    <row r="99" spans="3:135" ht="12.75">
      <c r="C99" s="53" t="s">
        <v>43</v>
      </c>
      <c r="D99" s="53" t="s">
        <v>47</v>
      </c>
      <c r="E99" s="53">
        <v>6</v>
      </c>
      <c r="G99" s="53">
        <v>1</v>
      </c>
      <c r="H99" s="53">
        <v>2</v>
      </c>
      <c r="J99" s="53">
        <v>1</v>
      </c>
      <c r="K99" s="53">
        <f t="shared" si="25"/>
        <v>4</v>
      </c>
      <c r="M99" s="53">
        <v>1</v>
      </c>
      <c r="O99" s="53">
        <v>8</v>
      </c>
      <c r="P99" s="53">
        <v>34</v>
      </c>
      <c r="Q99" s="53">
        <v>1</v>
      </c>
      <c r="R99" s="53">
        <f t="shared" si="22"/>
        <v>44</v>
      </c>
      <c r="T99" s="53">
        <v>87</v>
      </c>
      <c r="U99" s="53">
        <v>111</v>
      </c>
      <c r="V99" s="53">
        <v>60</v>
      </c>
      <c r="W99" s="53">
        <v>261</v>
      </c>
      <c r="X99" s="53">
        <v>6</v>
      </c>
      <c r="Y99" s="53">
        <f t="shared" si="21"/>
        <v>525</v>
      </c>
      <c r="AA99" s="53">
        <v>2</v>
      </c>
      <c r="AB99" s="53">
        <v>1</v>
      </c>
      <c r="AD99" s="53">
        <v>3</v>
      </c>
      <c r="AF99" s="53">
        <f t="shared" si="23"/>
        <v>6</v>
      </c>
      <c r="AH99" s="71">
        <f t="shared" si="24"/>
        <v>4.514619883040936</v>
      </c>
      <c r="AI99" s="66"/>
      <c r="AJ99" s="66"/>
      <c r="AL99" s="53">
        <v>4</v>
      </c>
      <c r="AM99" s="53">
        <v>9</v>
      </c>
      <c r="AN99" s="53">
        <v>3</v>
      </c>
      <c r="AO99" s="53">
        <v>2</v>
      </c>
      <c r="AP99" s="53">
        <v>6</v>
      </c>
      <c r="AQ99" s="53">
        <f t="shared" si="26"/>
        <v>24</v>
      </c>
      <c r="AS99" s="53">
        <v>14</v>
      </c>
      <c r="AT99" s="53">
        <v>16</v>
      </c>
      <c r="AU99" s="53">
        <v>19</v>
      </c>
      <c r="AV99" s="53">
        <v>20</v>
      </c>
      <c r="AW99" s="53">
        <v>6</v>
      </c>
      <c r="AX99" s="53">
        <f t="shared" si="27"/>
        <v>75</v>
      </c>
      <c r="BB99" s="53">
        <v>8</v>
      </c>
      <c r="BC99" s="53">
        <v>12</v>
      </c>
      <c r="BE99" s="53">
        <v>14</v>
      </c>
      <c r="BF99" s="53">
        <v>6</v>
      </c>
      <c r="BG99" s="53">
        <f t="shared" si="28"/>
        <v>40</v>
      </c>
      <c r="BN99" s="53">
        <v>5</v>
      </c>
      <c r="BP99" s="53">
        <v>3</v>
      </c>
      <c r="BS99" s="53">
        <f t="shared" si="29"/>
        <v>8</v>
      </c>
      <c r="BU99" s="53">
        <v>4</v>
      </c>
      <c r="BW99" s="53">
        <v>2</v>
      </c>
      <c r="BX99" s="53">
        <v>1</v>
      </c>
      <c r="BY99" s="53">
        <v>1</v>
      </c>
      <c r="BZ99" s="53">
        <f t="shared" si="30"/>
        <v>8</v>
      </c>
      <c r="CB99" s="71">
        <f>100*SUM($AL99:$AP99,$AS99:$AW99,$BN99:$BR99,$BU99:$BY99)/SUM($AQ$169,$AX$169,$BS$169,$BZ$169)</f>
        <v>1.0689719278676333</v>
      </c>
      <c r="CD99" s="53">
        <v>1</v>
      </c>
      <c r="CE99" s="53">
        <v>5</v>
      </c>
      <c r="CF99" s="53">
        <v>3</v>
      </c>
      <c r="CG99" s="53">
        <v>1</v>
      </c>
      <c r="CH99" s="53">
        <v>12</v>
      </c>
      <c r="CI99" s="53">
        <f t="shared" si="31"/>
        <v>22</v>
      </c>
      <c r="CK99" s="66">
        <f>100*(BG99+CI99)/($BG$169+$CI$169)</f>
        <v>1.0640123562725246</v>
      </c>
      <c r="CL99" s="66"/>
      <c r="CM99" s="66"/>
      <c r="CR99" s="53">
        <v>2</v>
      </c>
      <c r="CS99" s="53">
        <v>3</v>
      </c>
      <c r="CT99" s="53">
        <v>7</v>
      </c>
      <c r="CY99" s="53">
        <v>3</v>
      </c>
      <c r="CZ99" s="53">
        <v>3</v>
      </c>
      <c r="DA99" s="53">
        <v>2</v>
      </c>
      <c r="DB99" s="53">
        <v>3</v>
      </c>
      <c r="DC99" s="53">
        <v>4</v>
      </c>
      <c r="DH99" s="53">
        <v>3</v>
      </c>
      <c r="DI99" s="53">
        <v>2</v>
      </c>
      <c r="DJ99" s="53">
        <v>1</v>
      </c>
      <c r="DK99" s="53">
        <v>4</v>
      </c>
      <c r="DQ99" s="53">
        <v>33</v>
      </c>
      <c r="DR99" s="53">
        <v>22</v>
      </c>
      <c r="DS99" s="53">
        <v>9</v>
      </c>
      <c r="DT99" s="53">
        <v>6</v>
      </c>
      <c r="DU99" s="53">
        <v>5</v>
      </c>
      <c r="DV99" s="66"/>
      <c r="EA99" s="53">
        <v>1</v>
      </c>
      <c r="EB99" s="53">
        <v>3</v>
      </c>
      <c r="EC99" s="53">
        <v>1</v>
      </c>
      <c r="ED99" s="53">
        <v>6</v>
      </c>
      <c r="EE99" s="53">
        <v>5</v>
      </c>
    </row>
    <row r="100" spans="4:126" ht="12.75">
      <c r="D100" s="53" t="s">
        <v>384</v>
      </c>
      <c r="E100" s="53">
        <v>6</v>
      </c>
      <c r="K100" s="53">
        <f t="shared" si="25"/>
        <v>0</v>
      </c>
      <c r="R100" s="53">
        <f t="shared" si="22"/>
        <v>0</v>
      </c>
      <c r="Y100" s="53">
        <f t="shared" si="21"/>
        <v>0</v>
      </c>
      <c r="AF100" s="53">
        <f t="shared" si="23"/>
        <v>0</v>
      </c>
      <c r="AH100" s="71">
        <f t="shared" si="24"/>
        <v>0</v>
      </c>
      <c r="AI100" s="66"/>
      <c r="AJ100" s="66"/>
      <c r="AQ100" s="53">
        <f t="shared" si="26"/>
        <v>0</v>
      </c>
      <c r="AX100" s="53">
        <f t="shared" si="27"/>
        <v>0</v>
      </c>
      <c r="BG100" s="53">
        <f t="shared" si="28"/>
        <v>0</v>
      </c>
      <c r="BS100" s="53">
        <f t="shared" si="29"/>
        <v>0</v>
      </c>
      <c r="BU100" s="53">
        <v>1</v>
      </c>
      <c r="BZ100" s="53">
        <f t="shared" si="30"/>
        <v>1</v>
      </c>
      <c r="CB100" s="71">
        <f>100*SUM($AL100:$AP100,$AS100:$AW100,$BN100:$BR100,$BU100:$BY100)/SUM($AQ$169,$AX$169,$BS$169,$BZ$169)</f>
        <v>0.009295408068414203</v>
      </c>
      <c r="CI100" s="53">
        <f t="shared" si="31"/>
        <v>0</v>
      </c>
      <c r="CK100" s="66">
        <f>100*(BG100+CI100)/($BG$169+$CI$169)</f>
        <v>0</v>
      </c>
      <c r="CL100" s="66"/>
      <c r="CM100" s="66"/>
      <c r="DV100" s="66"/>
    </row>
    <row r="101" spans="4:126" ht="12.75">
      <c r="D101" s="53" t="s">
        <v>535</v>
      </c>
      <c r="E101" s="53">
        <v>6</v>
      </c>
      <c r="K101" s="53">
        <f t="shared" si="25"/>
        <v>0</v>
      </c>
      <c r="R101" s="53">
        <f t="shared" si="22"/>
        <v>0</v>
      </c>
      <c r="Y101" s="53">
        <f t="shared" si="21"/>
        <v>0</v>
      </c>
      <c r="AF101" s="53">
        <f t="shared" si="23"/>
        <v>0</v>
      </c>
      <c r="AH101" s="71">
        <f t="shared" si="24"/>
        <v>0</v>
      </c>
      <c r="AI101" s="66"/>
      <c r="AJ101" s="66"/>
      <c r="CB101" s="71"/>
      <c r="CK101" s="66"/>
      <c r="CL101" s="66"/>
      <c r="CM101" s="66"/>
      <c r="DA101" s="53">
        <v>2</v>
      </c>
      <c r="DL101" s="53">
        <v>2</v>
      </c>
      <c r="DV101" s="66"/>
    </row>
    <row r="102" spans="4:126" ht="12.75">
      <c r="D102" s="53" t="s">
        <v>497</v>
      </c>
      <c r="E102" s="53">
        <v>8</v>
      </c>
      <c r="K102" s="53">
        <f t="shared" si="25"/>
        <v>0</v>
      </c>
      <c r="R102" s="53">
        <f t="shared" si="22"/>
        <v>0</v>
      </c>
      <c r="Y102" s="53">
        <f t="shared" si="21"/>
        <v>0</v>
      </c>
      <c r="AF102" s="53">
        <f t="shared" si="23"/>
        <v>0</v>
      </c>
      <c r="AH102" s="71">
        <f t="shared" si="24"/>
        <v>0</v>
      </c>
      <c r="AI102" s="66"/>
      <c r="AJ102" s="66"/>
      <c r="CB102" s="71"/>
      <c r="CK102" s="66"/>
      <c r="CL102" s="66"/>
      <c r="CM102" s="66"/>
      <c r="DV102" s="66"/>
    </row>
    <row r="103" spans="3:126" ht="12.75">
      <c r="C103" s="53" t="s">
        <v>44</v>
      </c>
      <c r="D103" s="53" t="s">
        <v>538</v>
      </c>
      <c r="E103" s="53">
        <v>5</v>
      </c>
      <c r="K103" s="53">
        <f t="shared" si="25"/>
        <v>0</v>
      </c>
      <c r="R103" s="53">
        <f t="shared" si="22"/>
        <v>0</v>
      </c>
      <c r="Y103" s="53">
        <f t="shared" si="21"/>
        <v>0</v>
      </c>
      <c r="AF103" s="53">
        <f t="shared" si="23"/>
        <v>0</v>
      </c>
      <c r="AH103" s="71">
        <f t="shared" si="24"/>
        <v>0</v>
      </c>
      <c r="AI103" s="66"/>
      <c r="AJ103" s="66"/>
      <c r="CB103" s="71"/>
      <c r="CK103" s="66"/>
      <c r="CL103" s="66"/>
      <c r="CM103" s="66"/>
      <c r="DI103" s="53">
        <v>1</v>
      </c>
      <c r="DV103" s="66"/>
    </row>
    <row r="104" spans="4:135" ht="12.75">
      <c r="D104" s="53" t="s">
        <v>123</v>
      </c>
      <c r="E104" s="53">
        <v>7</v>
      </c>
      <c r="H104" s="53">
        <v>1</v>
      </c>
      <c r="K104" s="53">
        <f t="shared" si="25"/>
        <v>1</v>
      </c>
      <c r="R104" s="53">
        <f t="shared" si="22"/>
        <v>0</v>
      </c>
      <c r="X104" s="53">
        <v>1</v>
      </c>
      <c r="Y104" s="53">
        <f t="shared" si="21"/>
        <v>1</v>
      </c>
      <c r="AF104" s="53">
        <f t="shared" si="23"/>
        <v>0</v>
      </c>
      <c r="AH104" s="71">
        <f t="shared" si="24"/>
        <v>0.015594541910331383</v>
      </c>
      <c r="AI104" s="66"/>
      <c r="AJ104" s="66"/>
      <c r="AQ104" s="53">
        <f t="shared" si="26"/>
        <v>0</v>
      </c>
      <c r="AT104" s="53">
        <v>1</v>
      </c>
      <c r="AU104" s="53">
        <v>1</v>
      </c>
      <c r="AX104" s="53">
        <f t="shared" si="27"/>
        <v>2</v>
      </c>
      <c r="BE104" s="53">
        <v>3</v>
      </c>
      <c r="BF104" s="53">
        <v>1</v>
      </c>
      <c r="BG104" s="53">
        <f t="shared" si="28"/>
        <v>4</v>
      </c>
      <c r="BS104" s="53">
        <f t="shared" si="29"/>
        <v>0</v>
      </c>
      <c r="BZ104" s="53">
        <f t="shared" si="30"/>
        <v>0</v>
      </c>
      <c r="CB104" s="71">
        <f aca="true" t="shared" si="34" ref="CB104:CB130">100*SUM($AL104:$AP104,$AS104:$AW104,$BN104:$BR104,$BU104:$BY104)/SUM($AQ$169,$AX$169,$BS$169,$BZ$169)</f>
        <v>0.018590816136828406</v>
      </c>
      <c r="CI104" s="53">
        <f t="shared" si="31"/>
        <v>0</v>
      </c>
      <c r="CK104" s="66">
        <f aca="true" t="shared" si="35" ref="CK104:CK130">100*(BG104+CI104)/($BG$169+$CI$169)</f>
        <v>0.06864595846919512</v>
      </c>
      <c r="CL104" s="66"/>
      <c r="CM104" s="66"/>
      <c r="DV104" s="66"/>
      <c r="EE104" s="53">
        <v>1</v>
      </c>
    </row>
    <row r="105" spans="4:126" ht="12.75">
      <c r="D105" s="53" t="s">
        <v>492</v>
      </c>
      <c r="E105" s="53">
        <v>5</v>
      </c>
      <c r="K105" s="53">
        <f t="shared" si="25"/>
        <v>0</v>
      </c>
      <c r="R105" s="53">
        <f t="shared" si="22"/>
        <v>0</v>
      </c>
      <c r="Y105" s="53">
        <f t="shared" si="21"/>
        <v>0</v>
      </c>
      <c r="AF105" s="53">
        <f t="shared" si="23"/>
        <v>0</v>
      </c>
      <c r="AH105" s="71">
        <f t="shared" si="24"/>
        <v>0</v>
      </c>
      <c r="AI105" s="66"/>
      <c r="AJ105" s="66"/>
      <c r="CB105" s="71"/>
      <c r="CK105" s="66"/>
      <c r="CL105" s="66"/>
      <c r="CM105" s="66"/>
      <c r="DV105" s="66"/>
    </row>
    <row r="106" spans="4:135" ht="12.75">
      <c r="D106" s="53" t="s">
        <v>51</v>
      </c>
      <c r="E106" s="53">
        <v>7</v>
      </c>
      <c r="F106" s="53">
        <v>3</v>
      </c>
      <c r="G106" s="53">
        <v>4</v>
      </c>
      <c r="H106" s="53">
        <v>5</v>
      </c>
      <c r="I106" s="53">
        <v>6</v>
      </c>
      <c r="J106" s="53">
        <v>41</v>
      </c>
      <c r="K106" s="53">
        <f t="shared" si="25"/>
        <v>59</v>
      </c>
      <c r="M106" s="53">
        <v>43</v>
      </c>
      <c r="N106" s="53">
        <v>39</v>
      </c>
      <c r="O106" s="53">
        <v>92</v>
      </c>
      <c r="P106" s="53">
        <v>134</v>
      </c>
      <c r="Q106" s="53">
        <v>31</v>
      </c>
      <c r="R106" s="53">
        <f t="shared" si="22"/>
        <v>339</v>
      </c>
      <c r="T106" s="53">
        <v>111</v>
      </c>
      <c r="U106" s="53">
        <v>203</v>
      </c>
      <c r="V106" s="53">
        <v>205</v>
      </c>
      <c r="W106" s="53">
        <v>205</v>
      </c>
      <c r="X106" s="53">
        <v>55</v>
      </c>
      <c r="Y106" s="53">
        <f t="shared" si="21"/>
        <v>779</v>
      </c>
      <c r="AA106" s="53">
        <v>140</v>
      </c>
      <c r="AB106" s="53">
        <v>7</v>
      </c>
      <c r="AC106" s="53">
        <v>58</v>
      </c>
      <c r="AD106" s="53">
        <v>116</v>
      </c>
      <c r="AE106" s="53">
        <v>50</v>
      </c>
      <c r="AF106" s="53">
        <f t="shared" si="23"/>
        <v>371</v>
      </c>
      <c r="AH106" s="71">
        <f t="shared" si="24"/>
        <v>12.070175438596491</v>
      </c>
      <c r="AI106" s="66"/>
      <c r="AJ106" s="66"/>
      <c r="AL106" s="53">
        <v>65</v>
      </c>
      <c r="AM106" s="53">
        <v>3</v>
      </c>
      <c r="AN106" s="53">
        <v>9</v>
      </c>
      <c r="AO106" s="53">
        <v>25</v>
      </c>
      <c r="AP106" s="53">
        <v>12</v>
      </c>
      <c r="AQ106" s="53">
        <f t="shared" si="26"/>
        <v>114</v>
      </c>
      <c r="AS106" s="53">
        <v>66</v>
      </c>
      <c r="AT106" s="53">
        <v>25</v>
      </c>
      <c r="AU106" s="53">
        <v>21</v>
      </c>
      <c r="AV106" s="53">
        <v>70</v>
      </c>
      <c r="AW106" s="53">
        <v>3</v>
      </c>
      <c r="AX106" s="53">
        <f t="shared" si="27"/>
        <v>185</v>
      </c>
      <c r="BB106" s="53">
        <v>48</v>
      </c>
      <c r="BC106" s="53">
        <v>33</v>
      </c>
      <c r="BD106" s="53">
        <v>2</v>
      </c>
      <c r="BE106" s="53">
        <v>19</v>
      </c>
      <c r="BF106" s="53">
        <v>17</v>
      </c>
      <c r="BG106" s="53">
        <f t="shared" si="28"/>
        <v>119</v>
      </c>
      <c r="BN106" s="53">
        <v>140</v>
      </c>
      <c r="BO106" s="53">
        <v>56</v>
      </c>
      <c r="BP106" s="53">
        <v>126</v>
      </c>
      <c r="BQ106" s="53">
        <v>40</v>
      </c>
      <c r="BR106" s="53">
        <v>72</v>
      </c>
      <c r="BS106" s="53">
        <f t="shared" si="29"/>
        <v>434</v>
      </c>
      <c r="BU106" s="53">
        <v>63</v>
      </c>
      <c r="BV106" s="53">
        <v>82</v>
      </c>
      <c r="BW106" s="53">
        <v>54</v>
      </c>
      <c r="BX106" s="53">
        <v>36</v>
      </c>
      <c r="BY106" s="53">
        <v>29</v>
      </c>
      <c r="BZ106" s="53">
        <f t="shared" si="30"/>
        <v>264</v>
      </c>
      <c r="CB106" s="71">
        <f t="shared" si="34"/>
        <v>9.26752184420896</v>
      </c>
      <c r="CD106" s="53">
        <v>211</v>
      </c>
      <c r="CE106" s="53">
        <v>50</v>
      </c>
      <c r="CF106" s="53">
        <v>204</v>
      </c>
      <c r="CG106" s="53">
        <v>47</v>
      </c>
      <c r="CH106" s="53">
        <v>51</v>
      </c>
      <c r="CI106" s="53">
        <f t="shared" si="31"/>
        <v>563</v>
      </c>
      <c r="CK106" s="66">
        <f t="shared" si="35"/>
        <v>11.70413591899777</v>
      </c>
      <c r="CL106" s="66"/>
      <c r="CM106" s="66"/>
      <c r="CP106" s="53">
        <v>36</v>
      </c>
      <c r="CQ106" s="53">
        <v>29</v>
      </c>
      <c r="CR106" s="53">
        <v>81</v>
      </c>
      <c r="CS106" s="53">
        <v>38</v>
      </c>
      <c r="CT106" s="53">
        <v>59</v>
      </c>
      <c r="CY106" s="53">
        <v>106</v>
      </c>
      <c r="CZ106" s="53">
        <v>11</v>
      </c>
      <c r="DA106" s="53">
        <v>41</v>
      </c>
      <c r="DB106" s="53">
        <v>12</v>
      </c>
      <c r="DC106" s="53">
        <v>17</v>
      </c>
      <c r="DH106" s="53">
        <v>3</v>
      </c>
      <c r="DI106" s="53">
        <v>1</v>
      </c>
      <c r="DJ106" s="53">
        <v>6</v>
      </c>
      <c r="DK106" s="53">
        <v>19</v>
      </c>
      <c r="DL106" s="53">
        <v>7</v>
      </c>
      <c r="DQ106" s="53">
        <v>175</v>
      </c>
      <c r="DR106" s="53">
        <v>175</v>
      </c>
      <c r="DS106" s="53">
        <v>166</v>
      </c>
      <c r="DT106" s="53">
        <v>68</v>
      </c>
      <c r="DU106" s="53">
        <v>30</v>
      </c>
      <c r="DV106" s="66"/>
      <c r="EA106" s="53">
        <v>26</v>
      </c>
      <c r="EB106" s="53">
        <v>30</v>
      </c>
      <c r="EC106" s="53">
        <v>28</v>
      </c>
      <c r="ED106" s="53">
        <v>17</v>
      </c>
      <c r="EE106" s="53">
        <v>21</v>
      </c>
    </row>
    <row r="107" spans="4:134" ht="12.75">
      <c r="D107" s="53" t="s">
        <v>209</v>
      </c>
      <c r="E107" s="53">
        <v>3</v>
      </c>
      <c r="K107" s="53">
        <f t="shared" si="25"/>
        <v>0</v>
      </c>
      <c r="R107" s="53">
        <f t="shared" si="22"/>
        <v>0</v>
      </c>
      <c r="X107" s="53">
        <v>2</v>
      </c>
      <c r="Y107" s="53">
        <f t="shared" si="21"/>
        <v>2</v>
      </c>
      <c r="AB107" s="53">
        <v>3</v>
      </c>
      <c r="AF107" s="53">
        <f t="shared" si="23"/>
        <v>3</v>
      </c>
      <c r="AH107" s="71">
        <f t="shared" si="24"/>
        <v>0.03898635477582846</v>
      </c>
      <c r="AI107" s="66"/>
      <c r="AJ107" s="66"/>
      <c r="AM107" s="53">
        <v>1</v>
      </c>
      <c r="AN107" s="53">
        <v>1</v>
      </c>
      <c r="AQ107" s="53">
        <f t="shared" si="26"/>
        <v>2</v>
      </c>
      <c r="AS107" s="53">
        <v>3</v>
      </c>
      <c r="AU107" s="53">
        <v>1</v>
      </c>
      <c r="AW107" s="53">
        <v>2</v>
      </c>
      <c r="AX107" s="53">
        <f t="shared" si="27"/>
        <v>6</v>
      </c>
      <c r="BB107" s="53">
        <v>2</v>
      </c>
      <c r="BC107" s="53">
        <v>2</v>
      </c>
      <c r="BF107" s="53">
        <v>4</v>
      </c>
      <c r="BG107" s="53">
        <f t="shared" si="28"/>
        <v>8</v>
      </c>
      <c r="BO107" s="53">
        <v>2</v>
      </c>
      <c r="BP107" s="53">
        <v>3</v>
      </c>
      <c r="BR107" s="53">
        <v>2</v>
      </c>
      <c r="BS107" s="53">
        <f t="shared" si="29"/>
        <v>7</v>
      </c>
      <c r="BU107" s="53">
        <v>11</v>
      </c>
      <c r="BW107" s="53">
        <v>1</v>
      </c>
      <c r="BY107" s="53">
        <v>5</v>
      </c>
      <c r="BZ107" s="53">
        <f t="shared" si="30"/>
        <v>17</v>
      </c>
      <c r="CB107" s="71">
        <f t="shared" si="34"/>
        <v>0.2974530581892545</v>
      </c>
      <c r="CD107" s="53">
        <v>7</v>
      </c>
      <c r="CI107" s="53">
        <f t="shared" si="31"/>
        <v>7</v>
      </c>
      <c r="CK107" s="66">
        <f t="shared" si="35"/>
        <v>0.25742234425948174</v>
      </c>
      <c r="CL107" s="66"/>
      <c r="CM107" s="66"/>
      <c r="CP107" s="53">
        <v>15</v>
      </c>
      <c r="CQ107" s="53">
        <v>2</v>
      </c>
      <c r="CR107" s="53">
        <v>16</v>
      </c>
      <c r="CS107" s="53">
        <v>19</v>
      </c>
      <c r="CT107" s="53">
        <v>26</v>
      </c>
      <c r="CY107" s="53">
        <v>5</v>
      </c>
      <c r="DB107" s="53">
        <v>1</v>
      </c>
      <c r="DC107" s="53">
        <v>1</v>
      </c>
      <c r="DH107" s="53">
        <v>1</v>
      </c>
      <c r="DI107" s="53">
        <v>13</v>
      </c>
      <c r="DJ107" s="53">
        <v>1</v>
      </c>
      <c r="DK107" s="53">
        <v>15</v>
      </c>
      <c r="DL107" s="53">
        <v>42</v>
      </c>
      <c r="DQ107" s="53">
        <v>21</v>
      </c>
      <c r="DR107" s="53">
        <v>7</v>
      </c>
      <c r="DS107" s="53">
        <v>23</v>
      </c>
      <c r="DT107" s="53">
        <v>9</v>
      </c>
      <c r="DU107" s="53">
        <v>13</v>
      </c>
      <c r="DV107" s="66"/>
      <c r="EB107" s="53">
        <v>1</v>
      </c>
      <c r="ED107" s="53">
        <v>2</v>
      </c>
    </row>
    <row r="108" spans="4:126" ht="12.75">
      <c r="D108" s="53" t="s">
        <v>282</v>
      </c>
      <c r="E108" s="53">
        <v>8</v>
      </c>
      <c r="K108" s="53">
        <f t="shared" si="25"/>
        <v>0</v>
      </c>
      <c r="R108" s="53">
        <f t="shared" si="22"/>
        <v>0</v>
      </c>
      <c r="Y108" s="53">
        <f t="shared" si="21"/>
        <v>0</v>
      </c>
      <c r="AF108" s="53">
        <f t="shared" si="23"/>
        <v>0</v>
      </c>
      <c r="AH108" s="71">
        <f t="shared" si="24"/>
        <v>0</v>
      </c>
      <c r="AI108" s="66"/>
      <c r="AJ108" s="66"/>
      <c r="AL108" s="53">
        <v>10</v>
      </c>
      <c r="AM108" s="53">
        <v>14</v>
      </c>
      <c r="AN108" s="53">
        <v>1</v>
      </c>
      <c r="AQ108" s="53">
        <f t="shared" si="26"/>
        <v>25</v>
      </c>
      <c r="AW108" s="53">
        <v>1</v>
      </c>
      <c r="AX108" s="53">
        <f t="shared" si="27"/>
        <v>1</v>
      </c>
      <c r="BD108" s="53">
        <v>1</v>
      </c>
      <c r="BF108" s="53">
        <v>3</v>
      </c>
      <c r="BG108" s="53">
        <f t="shared" si="28"/>
        <v>4</v>
      </c>
      <c r="BP108" s="53">
        <v>1</v>
      </c>
      <c r="BQ108" s="53">
        <v>1</v>
      </c>
      <c r="BS108" s="53">
        <f t="shared" si="29"/>
        <v>2</v>
      </c>
      <c r="BU108" s="53">
        <v>1</v>
      </c>
      <c r="BV108" s="53">
        <v>1</v>
      </c>
      <c r="BW108" s="53">
        <v>3</v>
      </c>
      <c r="BY108" s="53">
        <v>3</v>
      </c>
      <c r="BZ108" s="53">
        <f t="shared" si="30"/>
        <v>8</v>
      </c>
      <c r="CB108" s="71">
        <f t="shared" si="34"/>
        <v>0.33463469046291133</v>
      </c>
      <c r="CH108" s="53">
        <v>1</v>
      </c>
      <c r="CI108" s="53">
        <f t="shared" si="31"/>
        <v>1</v>
      </c>
      <c r="CK108" s="66">
        <f t="shared" si="35"/>
        <v>0.0858074480864939</v>
      </c>
      <c r="CL108" s="66"/>
      <c r="CM108" s="66"/>
      <c r="CS108" s="53">
        <v>1</v>
      </c>
      <c r="CT108" s="53">
        <v>5</v>
      </c>
      <c r="CZ108" s="53">
        <v>2</v>
      </c>
      <c r="DV108" s="66"/>
    </row>
    <row r="109" spans="4:135" ht="12.75">
      <c r="D109" s="53" t="s">
        <v>249</v>
      </c>
      <c r="E109" s="53">
        <v>6</v>
      </c>
      <c r="G109" s="53">
        <v>3</v>
      </c>
      <c r="H109" s="53">
        <v>6</v>
      </c>
      <c r="I109" s="53">
        <v>77</v>
      </c>
      <c r="J109" s="53">
        <v>33</v>
      </c>
      <c r="K109" s="53">
        <f t="shared" si="25"/>
        <v>119</v>
      </c>
      <c r="M109" s="53">
        <v>7</v>
      </c>
      <c r="N109" s="53">
        <v>2</v>
      </c>
      <c r="O109" s="53">
        <v>3</v>
      </c>
      <c r="Q109" s="53">
        <v>2</v>
      </c>
      <c r="R109" s="53">
        <f t="shared" si="22"/>
        <v>14</v>
      </c>
      <c r="W109" s="53">
        <v>1</v>
      </c>
      <c r="Y109" s="53">
        <f t="shared" si="21"/>
        <v>1</v>
      </c>
      <c r="AA109" s="53">
        <v>58</v>
      </c>
      <c r="AB109" s="53">
        <v>25</v>
      </c>
      <c r="AC109" s="53">
        <v>29</v>
      </c>
      <c r="AD109" s="53">
        <v>13</v>
      </c>
      <c r="AE109" s="53">
        <v>9</v>
      </c>
      <c r="AF109" s="53">
        <f t="shared" si="23"/>
        <v>134</v>
      </c>
      <c r="AH109" s="71">
        <f t="shared" si="24"/>
        <v>2.0896686159844053</v>
      </c>
      <c r="AI109" s="66"/>
      <c r="AJ109" s="66"/>
      <c r="AM109" s="53">
        <v>1</v>
      </c>
      <c r="AN109" s="53">
        <v>2</v>
      </c>
      <c r="AQ109" s="53">
        <f t="shared" si="26"/>
        <v>3</v>
      </c>
      <c r="AS109" s="53">
        <v>3</v>
      </c>
      <c r="AT109" s="53">
        <v>1</v>
      </c>
      <c r="AU109" s="53">
        <v>1</v>
      </c>
      <c r="AV109" s="53">
        <v>1</v>
      </c>
      <c r="AX109" s="53">
        <f t="shared" si="27"/>
        <v>6</v>
      </c>
      <c r="BC109" s="53">
        <v>6</v>
      </c>
      <c r="BE109" s="53">
        <v>1</v>
      </c>
      <c r="BF109" s="53">
        <v>1</v>
      </c>
      <c r="BG109" s="53">
        <f t="shared" si="28"/>
        <v>8</v>
      </c>
      <c r="BO109" s="53">
        <v>1</v>
      </c>
      <c r="BS109" s="53">
        <f t="shared" si="29"/>
        <v>1</v>
      </c>
      <c r="BU109" s="53">
        <v>2</v>
      </c>
      <c r="BV109" s="53">
        <v>1</v>
      </c>
      <c r="BX109" s="53">
        <v>2</v>
      </c>
      <c r="BZ109" s="53">
        <f t="shared" si="30"/>
        <v>5</v>
      </c>
      <c r="CB109" s="71">
        <f t="shared" si="34"/>
        <v>0.13943112102621305</v>
      </c>
      <c r="CD109" s="53">
        <v>1</v>
      </c>
      <c r="CE109" s="53">
        <v>1</v>
      </c>
      <c r="CH109" s="53">
        <v>2</v>
      </c>
      <c r="CI109" s="53">
        <f t="shared" si="31"/>
        <v>4</v>
      </c>
      <c r="CK109" s="66">
        <f t="shared" si="35"/>
        <v>0.20593787540758537</v>
      </c>
      <c r="CL109" s="66"/>
      <c r="CM109" s="66"/>
      <c r="CP109" s="53">
        <v>8</v>
      </c>
      <c r="CQ109" s="53">
        <v>13</v>
      </c>
      <c r="CR109" s="53">
        <v>11</v>
      </c>
      <c r="CS109" s="53">
        <v>23</v>
      </c>
      <c r="CT109" s="53">
        <v>28</v>
      </c>
      <c r="CY109" s="53">
        <v>24</v>
      </c>
      <c r="CZ109" s="53">
        <v>11</v>
      </c>
      <c r="DA109" s="53">
        <v>14</v>
      </c>
      <c r="DB109" s="53">
        <v>26</v>
      </c>
      <c r="DC109" s="53">
        <v>43</v>
      </c>
      <c r="DH109" s="53">
        <v>6</v>
      </c>
      <c r="DI109" s="53">
        <v>26</v>
      </c>
      <c r="DJ109" s="53">
        <v>20</v>
      </c>
      <c r="DK109" s="53">
        <v>6</v>
      </c>
      <c r="DL109" s="53">
        <v>7</v>
      </c>
      <c r="DQ109" s="53">
        <v>1</v>
      </c>
      <c r="DV109" s="66"/>
      <c r="EB109" s="53">
        <v>5</v>
      </c>
      <c r="EC109" s="53">
        <v>4</v>
      </c>
      <c r="ED109" s="53">
        <v>1</v>
      </c>
      <c r="EE109" s="53">
        <v>8</v>
      </c>
    </row>
    <row r="110" spans="4:126" ht="12.75">
      <c r="D110" s="53" t="s">
        <v>383</v>
      </c>
      <c r="E110" s="53">
        <v>6</v>
      </c>
      <c r="K110" s="53">
        <f t="shared" si="25"/>
        <v>0</v>
      </c>
      <c r="R110" s="53">
        <f t="shared" si="22"/>
        <v>0</v>
      </c>
      <c r="Y110" s="53">
        <f t="shared" si="21"/>
        <v>0</v>
      </c>
      <c r="AF110" s="53">
        <f t="shared" si="23"/>
        <v>0</v>
      </c>
      <c r="AH110" s="71">
        <f t="shared" si="24"/>
        <v>0</v>
      </c>
      <c r="AI110" s="66"/>
      <c r="AJ110" s="66"/>
      <c r="AQ110" s="53">
        <f t="shared" si="26"/>
        <v>0</v>
      </c>
      <c r="AX110" s="53">
        <f t="shared" si="27"/>
        <v>0</v>
      </c>
      <c r="BG110" s="53">
        <f t="shared" si="28"/>
        <v>0</v>
      </c>
      <c r="BS110" s="53">
        <f t="shared" si="29"/>
        <v>0</v>
      </c>
      <c r="BU110" s="53">
        <v>1</v>
      </c>
      <c r="BV110" s="53">
        <v>1</v>
      </c>
      <c r="BY110" s="53">
        <v>1</v>
      </c>
      <c r="BZ110" s="53">
        <f t="shared" si="30"/>
        <v>3</v>
      </c>
      <c r="CB110" s="71">
        <f t="shared" si="34"/>
        <v>0.02788622420524261</v>
      </c>
      <c r="CI110" s="53">
        <f t="shared" si="31"/>
        <v>0</v>
      </c>
      <c r="CK110" s="66">
        <f t="shared" si="35"/>
        <v>0</v>
      </c>
      <c r="CL110" s="66"/>
      <c r="CM110" s="66"/>
      <c r="DV110" s="66"/>
    </row>
    <row r="111" spans="4:126" ht="12.75">
      <c r="D111" s="53" t="s">
        <v>207</v>
      </c>
      <c r="E111" s="53">
        <v>6</v>
      </c>
      <c r="K111" s="53">
        <f t="shared" si="25"/>
        <v>0</v>
      </c>
      <c r="R111" s="53">
        <f t="shared" si="22"/>
        <v>0</v>
      </c>
      <c r="W111" s="53">
        <v>1</v>
      </c>
      <c r="Y111" s="53">
        <f t="shared" si="21"/>
        <v>1</v>
      </c>
      <c r="AF111" s="53">
        <f t="shared" si="23"/>
        <v>0</v>
      </c>
      <c r="AH111" s="71">
        <f t="shared" si="24"/>
        <v>0.007797270955165692</v>
      </c>
      <c r="AI111" s="66"/>
      <c r="AJ111" s="66"/>
      <c r="AQ111" s="53">
        <f t="shared" si="26"/>
        <v>0</v>
      </c>
      <c r="AX111" s="53">
        <f t="shared" si="27"/>
        <v>0</v>
      </c>
      <c r="BG111" s="53">
        <f t="shared" si="28"/>
        <v>0</v>
      </c>
      <c r="BS111" s="53">
        <f t="shared" si="29"/>
        <v>0</v>
      </c>
      <c r="BY111" s="53">
        <v>1</v>
      </c>
      <c r="BZ111" s="53">
        <f t="shared" si="30"/>
        <v>1</v>
      </c>
      <c r="CB111" s="71">
        <f t="shared" si="34"/>
        <v>0.009295408068414203</v>
      </c>
      <c r="CF111" s="53">
        <v>3</v>
      </c>
      <c r="CI111" s="53">
        <f t="shared" si="31"/>
        <v>3</v>
      </c>
      <c r="CK111" s="66">
        <f t="shared" si="35"/>
        <v>0.051484468851896344</v>
      </c>
      <c r="CL111" s="66"/>
      <c r="CM111" s="66"/>
      <c r="DV111" s="66"/>
    </row>
    <row r="112" spans="4:133" ht="12.75">
      <c r="D112" s="53" t="s">
        <v>50</v>
      </c>
      <c r="E112" s="53">
        <v>6</v>
      </c>
      <c r="F112" s="53">
        <v>1</v>
      </c>
      <c r="H112" s="53">
        <v>2</v>
      </c>
      <c r="I112" s="53">
        <v>1</v>
      </c>
      <c r="K112" s="53">
        <f t="shared" si="25"/>
        <v>4</v>
      </c>
      <c r="M112" s="53">
        <v>2</v>
      </c>
      <c r="N112" s="53">
        <v>1</v>
      </c>
      <c r="O112" s="53">
        <v>3</v>
      </c>
      <c r="P112" s="53">
        <v>3</v>
      </c>
      <c r="R112" s="53">
        <f t="shared" si="22"/>
        <v>9</v>
      </c>
      <c r="T112" s="53">
        <v>1</v>
      </c>
      <c r="U112" s="53">
        <v>1</v>
      </c>
      <c r="V112" s="53">
        <v>1</v>
      </c>
      <c r="W112" s="53">
        <v>11</v>
      </c>
      <c r="X112" s="53">
        <v>1</v>
      </c>
      <c r="Y112" s="53">
        <f t="shared" si="21"/>
        <v>15</v>
      </c>
      <c r="AA112" s="53">
        <v>2</v>
      </c>
      <c r="AB112" s="53">
        <v>3</v>
      </c>
      <c r="AC112" s="53">
        <v>7</v>
      </c>
      <c r="AD112" s="53">
        <v>22</v>
      </c>
      <c r="AE112" s="53">
        <v>6</v>
      </c>
      <c r="AF112" s="53">
        <f t="shared" si="23"/>
        <v>40</v>
      </c>
      <c r="AH112" s="71">
        <f t="shared" si="24"/>
        <v>0.530214424951267</v>
      </c>
      <c r="AI112" s="66"/>
      <c r="AJ112" s="66"/>
      <c r="AL112" s="53">
        <v>3</v>
      </c>
      <c r="AM112" s="53">
        <v>7</v>
      </c>
      <c r="AN112" s="53">
        <v>6</v>
      </c>
      <c r="AQ112" s="53">
        <f t="shared" si="26"/>
        <v>16</v>
      </c>
      <c r="AS112" s="53">
        <v>7</v>
      </c>
      <c r="AT112" s="53">
        <v>9</v>
      </c>
      <c r="AU112" s="53">
        <v>3</v>
      </c>
      <c r="AV112" s="53">
        <v>23</v>
      </c>
      <c r="AW112" s="53">
        <v>3</v>
      </c>
      <c r="AX112" s="53">
        <f t="shared" si="27"/>
        <v>45</v>
      </c>
      <c r="BB112" s="53">
        <v>1</v>
      </c>
      <c r="BC112" s="53">
        <v>3</v>
      </c>
      <c r="BG112" s="53">
        <f t="shared" si="28"/>
        <v>4</v>
      </c>
      <c r="BN112" s="53">
        <v>1</v>
      </c>
      <c r="BS112" s="53">
        <f t="shared" si="29"/>
        <v>1</v>
      </c>
      <c r="BU112" s="53">
        <v>1</v>
      </c>
      <c r="BV112" s="53">
        <v>3</v>
      </c>
      <c r="BW112" s="53">
        <v>10</v>
      </c>
      <c r="BX112" s="53">
        <v>2</v>
      </c>
      <c r="BZ112" s="53">
        <f t="shared" si="30"/>
        <v>16</v>
      </c>
      <c r="CB112" s="71">
        <f t="shared" si="34"/>
        <v>0.7250418293363079</v>
      </c>
      <c r="CE112" s="53">
        <v>1</v>
      </c>
      <c r="CI112" s="53">
        <f t="shared" si="31"/>
        <v>1</v>
      </c>
      <c r="CK112" s="66">
        <f t="shared" si="35"/>
        <v>0.0858074480864939</v>
      </c>
      <c r="CL112" s="66"/>
      <c r="CM112" s="66"/>
      <c r="CY112" s="53">
        <v>6</v>
      </c>
      <c r="DA112" s="53">
        <v>2</v>
      </c>
      <c r="DB112" s="53">
        <v>1</v>
      </c>
      <c r="DK112" s="53">
        <v>2</v>
      </c>
      <c r="DQ112" s="53">
        <v>3</v>
      </c>
      <c r="DV112" s="66"/>
      <c r="EA112" s="53">
        <v>1</v>
      </c>
      <c r="EC112" s="53">
        <v>1</v>
      </c>
    </row>
    <row r="113" spans="4:131" ht="12.75">
      <c r="D113" s="53" t="s">
        <v>52</v>
      </c>
      <c r="E113" s="53">
        <v>6</v>
      </c>
      <c r="K113" s="53">
        <f t="shared" si="25"/>
        <v>0</v>
      </c>
      <c r="O113" s="53">
        <v>1</v>
      </c>
      <c r="P113" s="53">
        <v>1</v>
      </c>
      <c r="R113" s="53">
        <f t="shared" si="22"/>
        <v>2</v>
      </c>
      <c r="T113" s="53">
        <v>2</v>
      </c>
      <c r="V113" s="53">
        <v>1</v>
      </c>
      <c r="W113" s="53">
        <v>4</v>
      </c>
      <c r="Y113" s="53">
        <f t="shared" si="21"/>
        <v>7</v>
      </c>
      <c r="AF113" s="53">
        <f t="shared" si="23"/>
        <v>0</v>
      </c>
      <c r="AH113" s="71">
        <f t="shared" si="24"/>
        <v>0.07017543859649122</v>
      </c>
      <c r="AI113" s="66"/>
      <c r="AJ113" s="66"/>
      <c r="AQ113" s="53">
        <f t="shared" si="26"/>
        <v>0</v>
      </c>
      <c r="AX113" s="53">
        <f t="shared" si="27"/>
        <v>0</v>
      </c>
      <c r="BG113" s="53">
        <f t="shared" si="28"/>
        <v>0</v>
      </c>
      <c r="BS113" s="53">
        <f t="shared" si="29"/>
        <v>0</v>
      </c>
      <c r="BZ113" s="53">
        <f t="shared" si="30"/>
        <v>0</v>
      </c>
      <c r="CB113" s="71">
        <f t="shared" si="34"/>
        <v>0</v>
      </c>
      <c r="CI113" s="53">
        <f t="shared" si="31"/>
        <v>0</v>
      </c>
      <c r="CK113" s="66">
        <f t="shared" si="35"/>
        <v>0</v>
      </c>
      <c r="CL113" s="66"/>
      <c r="CM113" s="66"/>
      <c r="DV113" s="66"/>
      <c r="EA113" s="53">
        <v>2</v>
      </c>
    </row>
    <row r="114" spans="4:126" ht="12.75">
      <c r="D114" s="53" t="s">
        <v>189</v>
      </c>
      <c r="E114" s="53">
        <v>8</v>
      </c>
      <c r="K114" s="53">
        <f t="shared" si="25"/>
        <v>0</v>
      </c>
      <c r="R114" s="53">
        <f t="shared" si="22"/>
        <v>0</v>
      </c>
      <c r="U114" s="53">
        <v>1</v>
      </c>
      <c r="Y114" s="53">
        <f t="shared" si="21"/>
        <v>1</v>
      </c>
      <c r="AF114" s="53">
        <f t="shared" si="23"/>
        <v>0</v>
      </c>
      <c r="AH114" s="71">
        <f t="shared" si="24"/>
        <v>0.007797270955165692</v>
      </c>
      <c r="AI114" s="66"/>
      <c r="AJ114" s="66"/>
      <c r="AM114" s="53">
        <v>1</v>
      </c>
      <c r="AN114" s="53">
        <v>2</v>
      </c>
      <c r="AQ114" s="53">
        <f t="shared" si="26"/>
        <v>3</v>
      </c>
      <c r="AT114" s="53">
        <v>1</v>
      </c>
      <c r="AU114" s="53">
        <v>1</v>
      </c>
      <c r="AX114" s="53">
        <f t="shared" si="27"/>
        <v>2</v>
      </c>
      <c r="BG114" s="53">
        <f t="shared" si="28"/>
        <v>0</v>
      </c>
      <c r="BQ114" s="53">
        <v>1</v>
      </c>
      <c r="BR114" s="53">
        <v>1</v>
      </c>
      <c r="BS114" s="53">
        <f t="shared" si="29"/>
        <v>2</v>
      </c>
      <c r="BU114" s="53">
        <v>1</v>
      </c>
      <c r="BZ114" s="53">
        <f t="shared" si="30"/>
        <v>1</v>
      </c>
      <c r="CB114" s="71">
        <f t="shared" si="34"/>
        <v>0.07436326454731362</v>
      </c>
      <c r="CD114" s="53">
        <v>1</v>
      </c>
      <c r="CI114" s="53">
        <f t="shared" si="31"/>
        <v>1</v>
      </c>
      <c r="CK114" s="66">
        <f t="shared" si="35"/>
        <v>0.01716148961729878</v>
      </c>
      <c r="CL114" s="66"/>
      <c r="CM114" s="66"/>
      <c r="DV114" s="66"/>
    </row>
    <row r="115" spans="4:126" ht="12.75">
      <c r="D115" s="53" t="s">
        <v>99</v>
      </c>
      <c r="E115" s="53">
        <v>6</v>
      </c>
      <c r="F115" s="53">
        <v>1</v>
      </c>
      <c r="H115" s="53">
        <v>1</v>
      </c>
      <c r="J115" s="53">
        <v>1</v>
      </c>
      <c r="K115" s="53">
        <f t="shared" si="25"/>
        <v>3</v>
      </c>
      <c r="N115" s="53">
        <v>1</v>
      </c>
      <c r="R115" s="53">
        <f t="shared" si="22"/>
        <v>1</v>
      </c>
      <c r="Y115" s="53">
        <f t="shared" si="21"/>
        <v>0</v>
      </c>
      <c r="AC115" s="53">
        <v>1</v>
      </c>
      <c r="AD115" s="53">
        <v>8</v>
      </c>
      <c r="AE115" s="53">
        <v>2</v>
      </c>
      <c r="AF115" s="53">
        <f t="shared" si="23"/>
        <v>11</v>
      </c>
      <c r="AH115" s="71">
        <f t="shared" si="24"/>
        <v>0.11695906432748537</v>
      </c>
      <c r="AI115" s="66"/>
      <c r="AJ115" s="66"/>
      <c r="AL115" s="53">
        <v>2</v>
      </c>
      <c r="AQ115" s="53">
        <f t="shared" si="26"/>
        <v>2</v>
      </c>
      <c r="AX115" s="53">
        <f t="shared" si="27"/>
        <v>0</v>
      </c>
      <c r="BB115" s="53">
        <v>2</v>
      </c>
      <c r="BC115" s="53">
        <v>5</v>
      </c>
      <c r="BD115" s="53">
        <v>4</v>
      </c>
      <c r="BE115" s="53">
        <v>16</v>
      </c>
      <c r="BF115" s="53">
        <v>1</v>
      </c>
      <c r="BG115" s="53">
        <f t="shared" si="28"/>
        <v>28</v>
      </c>
      <c r="BN115" s="53">
        <v>1</v>
      </c>
      <c r="BS115" s="53">
        <f t="shared" si="29"/>
        <v>1</v>
      </c>
      <c r="BZ115" s="53">
        <f t="shared" si="30"/>
        <v>0</v>
      </c>
      <c r="CB115" s="71">
        <f t="shared" si="34"/>
        <v>0.02788622420524261</v>
      </c>
      <c r="CI115" s="53">
        <f t="shared" si="31"/>
        <v>0</v>
      </c>
      <c r="CK115" s="66">
        <f t="shared" si="35"/>
        <v>0.4805217092843659</v>
      </c>
      <c r="CL115" s="66"/>
      <c r="CM115" s="66"/>
      <c r="CP115" s="53">
        <v>2</v>
      </c>
      <c r="CR115" s="53">
        <v>7</v>
      </c>
      <c r="CZ115" s="53">
        <v>3</v>
      </c>
      <c r="DV115" s="66"/>
    </row>
    <row r="116" spans="4:126" ht="12.75">
      <c r="D116" s="53" t="s">
        <v>540</v>
      </c>
      <c r="E116" s="53">
        <v>3</v>
      </c>
      <c r="K116" s="53">
        <f t="shared" si="25"/>
        <v>0</v>
      </c>
      <c r="R116" s="53">
        <f t="shared" si="22"/>
        <v>0</v>
      </c>
      <c r="Y116" s="53">
        <f t="shared" si="21"/>
        <v>0</v>
      </c>
      <c r="AF116" s="53">
        <f t="shared" si="23"/>
        <v>0</v>
      </c>
      <c r="AH116" s="71">
        <f t="shared" si="24"/>
        <v>0</v>
      </c>
      <c r="AI116" s="66"/>
      <c r="AJ116" s="66"/>
      <c r="CB116" s="71"/>
      <c r="CK116" s="66"/>
      <c r="CL116" s="66"/>
      <c r="CM116" s="66"/>
      <c r="DV116" s="66"/>
    </row>
    <row r="117" spans="4:126" ht="12.75">
      <c r="D117" s="53" t="s">
        <v>136</v>
      </c>
      <c r="E117" s="53">
        <v>6</v>
      </c>
      <c r="J117" s="53">
        <v>1</v>
      </c>
      <c r="K117" s="53">
        <f t="shared" si="25"/>
        <v>1</v>
      </c>
      <c r="R117" s="53">
        <f t="shared" si="22"/>
        <v>0</v>
      </c>
      <c r="W117" s="53">
        <v>1</v>
      </c>
      <c r="Y117" s="53">
        <f t="shared" si="21"/>
        <v>1</v>
      </c>
      <c r="AD117" s="53">
        <v>1</v>
      </c>
      <c r="AF117" s="53">
        <f t="shared" si="23"/>
        <v>1</v>
      </c>
      <c r="AH117" s="71">
        <f t="shared" si="24"/>
        <v>0.023391812865497075</v>
      </c>
      <c r="AI117" s="66"/>
      <c r="AJ117" s="66"/>
      <c r="AQ117" s="53">
        <f t="shared" si="26"/>
        <v>0</v>
      </c>
      <c r="AS117" s="53">
        <v>2</v>
      </c>
      <c r="AT117" s="53">
        <v>4</v>
      </c>
      <c r="AX117" s="53">
        <f t="shared" si="27"/>
        <v>6</v>
      </c>
      <c r="BE117" s="53">
        <v>2</v>
      </c>
      <c r="BF117" s="53">
        <v>1</v>
      </c>
      <c r="BG117" s="53">
        <f t="shared" si="28"/>
        <v>3</v>
      </c>
      <c r="BS117" s="53">
        <f t="shared" si="29"/>
        <v>0</v>
      </c>
      <c r="BU117" s="53">
        <v>2</v>
      </c>
      <c r="BZ117" s="53">
        <f t="shared" si="30"/>
        <v>2</v>
      </c>
      <c r="CB117" s="71">
        <f t="shared" si="34"/>
        <v>0.07436326454731362</v>
      </c>
      <c r="CI117" s="53">
        <f t="shared" si="31"/>
        <v>0</v>
      </c>
      <c r="CK117" s="66">
        <f t="shared" si="35"/>
        <v>0.051484468851896344</v>
      </c>
      <c r="CL117" s="66"/>
      <c r="CM117" s="66"/>
      <c r="DQ117" s="53">
        <v>50</v>
      </c>
      <c r="DV117" s="66"/>
    </row>
    <row r="118" spans="4:133" ht="12.75">
      <c r="D118" s="53" t="s">
        <v>392</v>
      </c>
      <c r="E118" s="53">
        <v>4</v>
      </c>
      <c r="J118" s="53">
        <v>1</v>
      </c>
      <c r="K118" s="53">
        <f t="shared" si="25"/>
        <v>1</v>
      </c>
      <c r="M118" s="53">
        <v>3</v>
      </c>
      <c r="N118" s="53">
        <v>1</v>
      </c>
      <c r="O118" s="53">
        <v>7</v>
      </c>
      <c r="P118" s="53">
        <v>118</v>
      </c>
      <c r="Q118" s="53">
        <v>5</v>
      </c>
      <c r="R118" s="53">
        <f t="shared" si="22"/>
        <v>134</v>
      </c>
      <c r="T118" s="53">
        <v>58</v>
      </c>
      <c r="U118" s="53">
        <v>65</v>
      </c>
      <c r="V118" s="53">
        <v>165</v>
      </c>
      <c r="W118" s="53">
        <v>95</v>
      </c>
      <c r="X118" s="53">
        <v>9</v>
      </c>
      <c r="Y118" s="53">
        <f t="shared" si="21"/>
        <v>392</v>
      </c>
      <c r="AA118" s="53">
        <v>6</v>
      </c>
      <c r="AC118" s="53">
        <v>3</v>
      </c>
      <c r="AD118" s="53">
        <v>21</v>
      </c>
      <c r="AF118" s="53">
        <f t="shared" si="23"/>
        <v>30</v>
      </c>
      <c r="AH118" s="71">
        <f t="shared" si="24"/>
        <v>4.34307992202729</v>
      </c>
      <c r="AI118" s="66"/>
      <c r="AJ118" s="66"/>
      <c r="AP118" s="53">
        <v>2</v>
      </c>
      <c r="AQ118" s="53">
        <f t="shared" si="26"/>
        <v>2</v>
      </c>
      <c r="AS118" s="53">
        <v>5</v>
      </c>
      <c r="AT118" s="53">
        <v>3</v>
      </c>
      <c r="AU118" s="53">
        <v>3</v>
      </c>
      <c r="AV118" s="53">
        <v>37</v>
      </c>
      <c r="AW118" s="53">
        <v>3</v>
      </c>
      <c r="AX118" s="53">
        <f t="shared" si="27"/>
        <v>51</v>
      </c>
      <c r="BB118" s="53">
        <v>35</v>
      </c>
      <c r="BC118" s="53">
        <v>2</v>
      </c>
      <c r="BE118" s="53">
        <v>8</v>
      </c>
      <c r="BF118" s="53">
        <v>8</v>
      </c>
      <c r="BG118" s="53">
        <f t="shared" si="28"/>
        <v>53</v>
      </c>
      <c r="BN118" s="53">
        <v>1</v>
      </c>
      <c r="BP118" s="53">
        <v>1</v>
      </c>
      <c r="BS118" s="53">
        <f t="shared" si="29"/>
        <v>2</v>
      </c>
      <c r="BU118" s="53">
        <v>3</v>
      </c>
      <c r="BV118" s="53">
        <v>1</v>
      </c>
      <c r="BW118" s="53">
        <v>3</v>
      </c>
      <c r="BX118" s="53">
        <v>1</v>
      </c>
      <c r="BZ118" s="53">
        <f t="shared" si="30"/>
        <v>8</v>
      </c>
      <c r="CB118" s="71">
        <f t="shared" si="34"/>
        <v>0.5856107083100948</v>
      </c>
      <c r="CD118" s="53">
        <v>135</v>
      </c>
      <c r="CE118" s="53">
        <v>26</v>
      </c>
      <c r="CF118" s="53">
        <v>40</v>
      </c>
      <c r="CG118" s="53">
        <v>65</v>
      </c>
      <c r="CH118" s="53">
        <v>21</v>
      </c>
      <c r="CI118" s="53">
        <f t="shared" si="31"/>
        <v>287</v>
      </c>
      <c r="CK118" s="66">
        <f t="shared" si="35"/>
        <v>5.834906469881585</v>
      </c>
      <c r="CL118" s="66"/>
      <c r="CM118" s="66"/>
      <c r="CR118" s="53">
        <v>2</v>
      </c>
      <c r="DH118" s="53">
        <v>15</v>
      </c>
      <c r="DI118" s="53">
        <v>4</v>
      </c>
      <c r="DJ118" s="53">
        <v>9</v>
      </c>
      <c r="DK118" s="53">
        <v>13</v>
      </c>
      <c r="DL118" s="53">
        <v>5</v>
      </c>
      <c r="DQ118" s="53">
        <v>3</v>
      </c>
      <c r="DS118" s="53">
        <v>1</v>
      </c>
      <c r="DV118" s="66"/>
      <c r="EA118" s="53">
        <v>11</v>
      </c>
      <c r="EB118" s="53">
        <v>4</v>
      </c>
      <c r="EC118" s="53">
        <v>1</v>
      </c>
    </row>
    <row r="119" spans="4:126" ht="12.75">
      <c r="D119" s="53" t="s">
        <v>208</v>
      </c>
      <c r="E119" s="53">
        <v>5</v>
      </c>
      <c r="K119" s="53">
        <f t="shared" si="25"/>
        <v>0</v>
      </c>
      <c r="R119" s="53">
        <f t="shared" si="22"/>
        <v>0</v>
      </c>
      <c r="W119" s="53">
        <v>1</v>
      </c>
      <c r="X119" s="53">
        <v>1</v>
      </c>
      <c r="Y119" s="53">
        <f t="shared" si="21"/>
        <v>2</v>
      </c>
      <c r="AA119" s="53">
        <v>1</v>
      </c>
      <c r="AF119" s="53">
        <f t="shared" si="23"/>
        <v>1</v>
      </c>
      <c r="AH119" s="71">
        <f t="shared" si="24"/>
        <v>0.023391812865497075</v>
      </c>
      <c r="AI119" s="66"/>
      <c r="AJ119" s="66"/>
      <c r="AL119" s="53">
        <v>1</v>
      </c>
      <c r="AM119" s="53">
        <v>4</v>
      </c>
      <c r="AN119" s="53">
        <v>1</v>
      </c>
      <c r="AO119" s="53">
        <v>1</v>
      </c>
      <c r="AQ119" s="53">
        <f t="shared" si="26"/>
        <v>7</v>
      </c>
      <c r="AS119" s="53">
        <v>2</v>
      </c>
      <c r="AU119" s="53">
        <v>2</v>
      </c>
      <c r="AV119" s="53">
        <v>1</v>
      </c>
      <c r="AX119" s="53">
        <f t="shared" si="27"/>
        <v>5</v>
      </c>
      <c r="BB119" s="53">
        <v>1</v>
      </c>
      <c r="BC119" s="53">
        <v>3</v>
      </c>
      <c r="BE119" s="53">
        <v>1</v>
      </c>
      <c r="BG119" s="53">
        <f t="shared" si="28"/>
        <v>5</v>
      </c>
      <c r="BS119" s="53">
        <f t="shared" si="29"/>
        <v>0</v>
      </c>
      <c r="BY119" s="53">
        <v>1</v>
      </c>
      <c r="BZ119" s="53">
        <f t="shared" si="30"/>
        <v>1</v>
      </c>
      <c r="CB119" s="71">
        <f t="shared" si="34"/>
        <v>0.12084030488938464</v>
      </c>
      <c r="CE119" s="53">
        <v>1</v>
      </c>
      <c r="CI119" s="53">
        <f t="shared" si="31"/>
        <v>1</v>
      </c>
      <c r="CK119" s="66">
        <f t="shared" si="35"/>
        <v>0.10296893770379269</v>
      </c>
      <c r="CL119" s="66"/>
      <c r="CM119" s="66"/>
      <c r="CQ119" s="53">
        <v>2</v>
      </c>
      <c r="DL119" s="53">
        <v>2</v>
      </c>
      <c r="DV119" s="66"/>
    </row>
    <row r="120" spans="4:126" ht="12.75">
      <c r="D120" s="53" t="s">
        <v>281</v>
      </c>
      <c r="E120" s="53">
        <v>6</v>
      </c>
      <c r="K120" s="53">
        <f t="shared" si="25"/>
        <v>0</v>
      </c>
      <c r="R120" s="53">
        <f t="shared" si="22"/>
        <v>0</v>
      </c>
      <c r="Y120" s="53">
        <f t="shared" si="21"/>
        <v>0</v>
      </c>
      <c r="AF120" s="53">
        <f t="shared" si="23"/>
        <v>0</v>
      </c>
      <c r="AH120" s="71">
        <f t="shared" si="24"/>
        <v>0</v>
      </c>
      <c r="AI120" s="66"/>
      <c r="AJ120" s="66"/>
      <c r="AL120" s="53">
        <v>1</v>
      </c>
      <c r="AQ120" s="53">
        <f t="shared" si="26"/>
        <v>1</v>
      </c>
      <c r="AX120" s="53">
        <f t="shared" si="27"/>
        <v>0</v>
      </c>
      <c r="BG120" s="53">
        <f t="shared" si="28"/>
        <v>0</v>
      </c>
      <c r="BS120" s="53">
        <f t="shared" si="29"/>
        <v>0</v>
      </c>
      <c r="BZ120" s="53">
        <f t="shared" si="30"/>
        <v>0</v>
      </c>
      <c r="CB120" s="71">
        <f t="shared" si="34"/>
        <v>0.009295408068414203</v>
      </c>
      <c r="CI120" s="53">
        <f t="shared" si="31"/>
        <v>0</v>
      </c>
      <c r="CK120" s="66">
        <f t="shared" si="35"/>
        <v>0</v>
      </c>
      <c r="CL120" s="66"/>
      <c r="CM120" s="66"/>
      <c r="DV120" s="66"/>
    </row>
    <row r="121" spans="4:126" ht="12.75">
      <c r="D121" s="53" t="s">
        <v>390</v>
      </c>
      <c r="E121" s="53">
        <v>5</v>
      </c>
      <c r="K121" s="53">
        <f t="shared" si="25"/>
        <v>0</v>
      </c>
      <c r="R121" s="53">
        <f t="shared" si="22"/>
        <v>0</v>
      </c>
      <c r="Y121" s="53">
        <f t="shared" si="21"/>
        <v>0</v>
      </c>
      <c r="AF121" s="53">
        <f t="shared" si="23"/>
        <v>0</v>
      </c>
      <c r="AH121" s="71">
        <f t="shared" si="24"/>
        <v>0</v>
      </c>
      <c r="AI121" s="66"/>
      <c r="AJ121" s="66"/>
      <c r="AQ121" s="53">
        <f t="shared" si="26"/>
        <v>0</v>
      </c>
      <c r="AX121" s="53">
        <f t="shared" si="27"/>
        <v>0</v>
      </c>
      <c r="BG121" s="53">
        <f t="shared" si="28"/>
        <v>0</v>
      </c>
      <c r="BS121" s="53">
        <f t="shared" si="29"/>
        <v>0</v>
      </c>
      <c r="BX121" s="53">
        <v>1</v>
      </c>
      <c r="BY121" s="53">
        <v>1</v>
      </c>
      <c r="BZ121" s="53">
        <f t="shared" si="30"/>
        <v>2</v>
      </c>
      <c r="CB121" s="71">
        <f t="shared" si="34"/>
        <v>0.018590816136828406</v>
      </c>
      <c r="CI121" s="53">
        <f t="shared" si="31"/>
        <v>0</v>
      </c>
      <c r="CK121" s="66">
        <f t="shared" si="35"/>
        <v>0</v>
      </c>
      <c r="CL121" s="66"/>
      <c r="CM121" s="66"/>
      <c r="DV121" s="66"/>
    </row>
    <row r="122" spans="4:126" ht="12.75">
      <c r="D122" s="53" t="s">
        <v>310</v>
      </c>
      <c r="E122" s="53">
        <v>8</v>
      </c>
      <c r="K122" s="53">
        <f t="shared" si="25"/>
        <v>0</v>
      </c>
      <c r="R122" s="53">
        <f t="shared" si="22"/>
        <v>0</v>
      </c>
      <c r="Y122" s="53">
        <f t="shared" si="21"/>
        <v>0</v>
      </c>
      <c r="AF122" s="53">
        <f t="shared" si="23"/>
        <v>0</v>
      </c>
      <c r="AH122" s="71">
        <f t="shared" si="24"/>
        <v>0</v>
      </c>
      <c r="AI122" s="66"/>
      <c r="AJ122" s="66"/>
      <c r="AQ122" s="53">
        <f t="shared" si="26"/>
        <v>0</v>
      </c>
      <c r="AX122" s="53">
        <f t="shared" si="27"/>
        <v>0</v>
      </c>
      <c r="BE122" s="53">
        <v>1</v>
      </c>
      <c r="BG122" s="53">
        <f t="shared" si="28"/>
        <v>1</v>
      </c>
      <c r="BS122" s="53">
        <f t="shared" si="29"/>
        <v>0</v>
      </c>
      <c r="BZ122" s="53">
        <f t="shared" si="30"/>
        <v>0</v>
      </c>
      <c r="CB122" s="71">
        <f t="shared" si="34"/>
        <v>0</v>
      </c>
      <c r="CI122" s="53">
        <f t="shared" si="31"/>
        <v>0</v>
      </c>
      <c r="CK122" s="66">
        <f t="shared" si="35"/>
        <v>0.01716148961729878</v>
      </c>
      <c r="CL122" s="66"/>
      <c r="CM122" s="66"/>
      <c r="DV122" s="66"/>
    </row>
    <row r="123" spans="4:126" ht="12.75">
      <c r="D123" s="53" t="s">
        <v>280</v>
      </c>
      <c r="E123" s="53">
        <v>2</v>
      </c>
      <c r="K123" s="53">
        <f t="shared" si="25"/>
        <v>0</v>
      </c>
      <c r="R123" s="53">
        <f t="shared" si="22"/>
        <v>0</v>
      </c>
      <c r="Y123" s="53">
        <f t="shared" si="21"/>
        <v>0</v>
      </c>
      <c r="AF123" s="53">
        <f t="shared" si="23"/>
        <v>0</v>
      </c>
      <c r="AH123" s="71">
        <f t="shared" si="24"/>
        <v>0</v>
      </c>
      <c r="AI123" s="66"/>
      <c r="AJ123" s="66"/>
      <c r="AL123" s="53">
        <v>20</v>
      </c>
      <c r="AM123" s="53">
        <v>14</v>
      </c>
      <c r="AN123" s="53">
        <v>27</v>
      </c>
      <c r="AO123" s="53">
        <v>42</v>
      </c>
      <c r="AP123" s="53">
        <v>27</v>
      </c>
      <c r="AQ123" s="53">
        <f t="shared" si="26"/>
        <v>130</v>
      </c>
      <c r="AS123" s="53">
        <v>30</v>
      </c>
      <c r="AT123" s="53">
        <v>54</v>
      </c>
      <c r="AU123" s="53">
        <v>30</v>
      </c>
      <c r="AV123" s="53">
        <v>2</v>
      </c>
      <c r="AW123" s="53">
        <v>4</v>
      </c>
      <c r="AX123" s="53">
        <f t="shared" si="27"/>
        <v>120</v>
      </c>
      <c r="BB123" s="53">
        <v>2</v>
      </c>
      <c r="BC123" s="53">
        <v>2</v>
      </c>
      <c r="BE123" s="53">
        <v>5</v>
      </c>
      <c r="BF123" s="53">
        <v>2</v>
      </c>
      <c r="BG123" s="53">
        <f t="shared" si="28"/>
        <v>11</v>
      </c>
      <c r="BN123" s="53">
        <v>23</v>
      </c>
      <c r="BO123" s="53">
        <v>4</v>
      </c>
      <c r="BP123" s="53">
        <v>29</v>
      </c>
      <c r="BQ123" s="53">
        <v>11</v>
      </c>
      <c r="BR123" s="53">
        <v>10</v>
      </c>
      <c r="BS123" s="53">
        <f t="shared" si="29"/>
        <v>77</v>
      </c>
      <c r="BU123" s="53">
        <v>9</v>
      </c>
      <c r="BV123" s="53">
        <v>1</v>
      </c>
      <c r="BW123" s="53">
        <v>1</v>
      </c>
      <c r="BX123" s="53">
        <v>4</v>
      </c>
      <c r="BY123" s="53">
        <v>1</v>
      </c>
      <c r="BZ123" s="53">
        <f t="shared" si="30"/>
        <v>16</v>
      </c>
      <c r="CB123" s="71">
        <f t="shared" si="34"/>
        <v>3.188324967466072</v>
      </c>
      <c r="CD123" s="53">
        <v>7</v>
      </c>
      <c r="CG123" s="53">
        <v>3</v>
      </c>
      <c r="CH123" s="53">
        <v>3</v>
      </c>
      <c r="CI123" s="53">
        <f t="shared" si="31"/>
        <v>13</v>
      </c>
      <c r="CK123" s="66">
        <f t="shared" si="35"/>
        <v>0.41187575081517075</v>
      </c>
      <c r="CL123" s="66"/>
      <c r="CM123" s="66"/>
      <c r="CP123" s="53">
        <v>4</v>
      </c>
      <c r="CR123" s="53">
        <v>2</v>
      </c>
      <c r="CS123" s="53">
        <v>1</v>
      </c>
      <c r="CY123" s="53">
        <v>2</v>
      </c>
      <c r="CZ123" s="53">
        <v>5</v>
      </c>
      <c r="DC123" s="53">
        <v>4</v>
      </c>
      <c r="DK123" s="53">
        <v>2</v>
      </c>
      <c r="DL123" s="53">
        <v>2</v>
      </c>
      <c r="DV123" s="66"/>
    </row>
    <row r="124" spans="4:126" ht="12.75">
      <c r="D124" s="53" t="s">
        <v>391</v>
      </c>
      <c r="E124" s="53">
        <v>6</v>
      </c>
      <c r="K124" s="53">
        <f t="shared" si="25"/>
        <v>0</v>
      </c>
      <c r="R124" s="53">
        <f t="shared" si="22"/>
        <v>0</v>
      </c>
      <c r="Y124" s="53">
        <f t="shared" si="21"/>
        <v>0</v>
      </c>
      <c r="AF124" s="53">
        <f t="shared" si="23"/>
        <v>0</v>
      </c>
      <c r="AH124" s="71">
        <f t="shared" si="24"/>
        <v>0</v>
      </c>
      <c r="AI124" s="66"/>
      <c r="AJ124" s="66"/>
      <c r="AQ124" s="53">
        <f t="shared" si="26"/>
        <v>0</v>
      </c>
      <c r="AX124" s="53">
        <f t="shared" si="27"/>
        <v>0</v>
      </c>
      <c r="BG124" s="53">
        <f t="shared" si="28"/>
        <v>0</v>
      </c>
      <c r="BS124" s="53">
        <f t="shared" si="29"/>
        <v>0</v>
      </c>
      <c r="BZ124" s="53">
        <f t="shared" si="30"/>
        <v>0</v>
      </c>
      <c r="CB124" s="71">
        <f t="shared" si="34"/>
        <v>0</v>
      </c>
      <c r="CD124" s="53">
        <v>7</v>
      </c>
      <c r="CI124" s="53">
        <f t="shared" si="31"/>
        <v>7</v>
      </c>
      <c r="CK124" s="66">
        <f t="shared" si="35"/>
        <v>0.12013042732109147</v>
      </c>
      <c r="CL124" s="66"/>
      <c r="CM124" s="66"/>
      <c r="DV124" s="66"/>
    </row>
    <row r="125" spans="4:135" ht="12.75">
      <c r="D125" s="53" t="s">
        <v>138</v>
      </c>
      <c r="E125" s="53">
        <v>6</v>
      </c>
      <c r="K125" s="53">
        <f t="shared" si="25"/>
        <v>0</v>
      </c>
      <c r="M125" s="53">
        <v>1</v>
      </c>
      <c r="R125" s="53">
        <f t="shared" si="22"/>
        <v>1</v>
      </c>
      <c r="T125" s="53">
        <v>4</v>
      </c>
      <c r="U125" s="53">
        <v>1</v>
      </c>
      <c r="V125" s="53">
        <v>4</v>
      </c>
      <c r="W125" s="53">
        <v>7</v>
      </c>
      <c r="X125" s="53">
        <v>7</v>
      </c>
      <c r="Y125" s="53">
        <f t="shared" si="21"/>
        <v>23</v>
      </c>
      <c r="AA125" s="53">
        <v>64</v>
      </c>
      <c r="AB125" s="53">
        <v>8</v>
      </c>
      <c r="AC125" s="53">
        <v>7</v>
      </c>
      <c r="AD125" s="53">
        <v>14</v>
      </c>
      <c r="AE125" s="53">
        <v>25</v>
      </c>
      <c r="AF125" s="53">
        <f t="shared" si="23"/>
        <v>118</v>
      </c>
      <c r="AH125" s="71">
        <f t="shared" si="24"/>
        <v>1.1072124756335282</v>
      </c>
      <c r="AI125" s="66"/>
      <c r="AJ125" s="66"/>
      <c r="AL125" s="53">
        <v>27</v>
      </c>
      <c r="AM125" s="53">
        <v>33</v>
      </c>
      <c r="AN125" s="53">
        <v>12</v>
      </c>
      <c r="AO125" s="53">
        <v>10</v>
      </c>
      <c r="AP125" s="53">
        <v>16</v>
      </c>
      <c r="AQ125" s="53">
        <f t="shared" si="26"/>
        <v>98</v>
      </c>
      <c r="AS125" s="53">
        <v>14</v>
      </c>
      <c r="AT125" s="53">
        <v>19</v>
      </c>
      <c r="AU125" s="53">
        <v>24</v>
      </c>
      <c r="AV125" s="53">
        <v>9</v>
      </c>
      <c r="AW125" s="53">
        <v>3</v>
      </c>
      <c r="AX125" s="53">
        <f t="shared" si="27"/>
        <v>69</v>
      </c>
      <c r="BB125" s="53">
        <v>9</v>
      </c>
      <c r="BC125" s="53">
        <v>12</v>
      </c>
      <c r="BD125" s="53">
        <v>5</v>
      </c>
      <c r="BE125" s="53">
        <v>4</v>
      </c>
      <c r="BF125" s="53">
        <v>5</v>
      </c>
      <c r="BG125" s="53">
        <f t="shared" si="28"/>
        <v>35</v>
      </c>
      <c r="BN125" s="53">
        <v>41</v>
      </c>
      <c r="BO125" s="53">
        <v>9</v>
      </c>
      <c r="BP125" s="53">
        <v>21</v>
      </c>
      <c r="BQ125" s="53">
        <v>5</v>
      </c>
      <c r="BR125" s="53">
        <v>17</v>
      </c>
      <c r="BS125" s="53">
        <f t="shared" si="29"/>
        <v>93</v>
      </c>
      <c r="BU125" s="53">
        <v>32</v>
      </c>
      <c r="BV125" s="53">
        <v>8</v>
      </c>
      <c r="BW125" s="53">
        <v>38</v>
      </c>
      <c r="BX125" s="53">
        <v>16</v>
      </c>
      <c r="BY125" s="53">
        <v>9</v>
      </c>
      <c r="BZ125" s="53">
        <f t="shared" si="30"/>
        <v>103</v>
      </c>
      <c r="CB125" s="71">
        <f t="shared" si="34"/>
        <v>3.374233128834356</v>
      </c>
      <c r="CD125" s="53">
        <v>7</v>
      </c>
      <c r="CE125" s="53">
        <v>12</v>
      </c>
      <c r="CF125" s="53">
        <v>33</v>
      </c>
      <c r="CG125" s="53">
        <v>5</v>
      </c>
      <c r="CH125" s="53">
        <v>11</v>
      </c>
      <c r="CI125" s="53">
        <f t="shared" si="31"/>
        <v>68</v>
      </c>
      <c r="CK125" s="66">
        <f t="shared" si="35"/>
        <v>1.7676334305817745</v>
      </c>
      <c r="CL125" s="66"/>
      <c r="CM125" s="66"/>
      <c r="CP125" s="53">
        <v>2</v>
      </c>
      <c r="CQ125" s="53">
        <v>6</v>
      </c>
      <c r="CR125" s="53">
        <v>11</v>
      </c>
      <c r="CT125" s="53">
        <v>5</v>
      </c>
      <c r="CY125" s="53">
        <v>8</v>
      </c>
      <c r="CZ125" s="53">
        <v>16</v>
      </c>
      <c r="DA125" s="53">
        <v>6</v>
      </c>
      <c r="DB125" s="53">
        <v>4</v>
      </c>
      <c r="DC125" s="53">
        <v>6</v>
      </c>
      <c r="DH125" s="53">
        <v>6</v>
      </c>
      <c r="DI125" s="53">
        <v>4</v>
      </c>
      <c r="DR125" s="53">
        <v>1</v>
      </c>
      <c r="DS125" s="53">
        <v>7</v>
      </c>
      <c r="DT125" s="53">
        <v>3</v>
      </c>
      <c r="DV125" s="66"/>
      <c r="EA125" s="53">
        <v>4</v>
      </c>
      <c r="EB125" s="53">
        <v>2</v>
      </c>
      <c r="EE125" s="53">
        <v>2</v>
      </c>
    </row>
    <row r="126" spans="4:126" ht="12.75">
      <c r="D126" s="53" t="s">
        <v>124</v>
      </c>
      <c r="E126" s="53">
        <v>5</v>
      </c>
      <c r="H126" s="53">
        <v>2</v>
      </c>
      <c r="I126" s="53">
        <v>2</v>
      </c>
      <c r="K126" s="53">
        <f t="shared" si="25"/>
        <v>4</v>
      </c>
      <c r="M126" s="53">
        <v>1</v>
      </c>
      <c r="R126" s="53">
        <f t="shared" si="22"/>
        <v>1</v>
      </c>
      <c r="Y126" s="53">
        <f t="shared" si="21"/>
        <v>0</v>
      </c>
      <c r="AB126" s="53">
        <v>1</v>
      </c>
      <c r="AC126" s="53">
        <v>1</v>
      </c>
      <c r="AD126" s="53">
        <v>2</v>
      </c>
      <c r="AE126" s="53">
        <v>1</v>
      </c>
      <c r="AF126" s="53">
        <f t="shared" si="23"/>
        <v>5</v>
      </c>
      <c r="AH126" s="71">
        <f t="shared" si="24"/>
        <v>0.07797270955165692</v>
      </c>
      <c r="AI126" s="66"/>
      <c r="AJ126" s="66"/>
      <c r="AQ126" s="53">
        <f t="shared" si="26"/>
        <v>0</v>
      </c>
      <c r="AU126" s="53">
        <v>1</v>
      </c>
      <c r="AX126" s="53">
        <f t="shared" si="27"/>
        <v>1</v>
      </c>
      <c r="BG126" s="53">
        <f t="shared" si="28"/>
        <v>0</v>
      </c>
      <c r="BS126" s="53">
        <f t="shared" si="29"/>
        <v>0</v>
      </c>
      <c r="BU126" s="53">
        <v>2</v>
      </c>
      <c r="BV126" s="53">
        <v>5</v>
      </c>
      <c r="BW126" s="53">
        <v>4</v>
      </c>
      <c r="BX126" s="53">
        <v>2</v>
      </c>
      <c r="BY126" s="53">
        <v>4</v>
      </c>
      <c r="BZ126" s="53">
        <f t="shared" si="30"/>
        <v>17</v>
      </c>
      <c r="CB126" s="71">
        <f t="shared" si="34"/>
        <v>0.16731734523145567</v>
      </c>
      <c r="CE126" s="53">
        <v>1</v>
      </c>
      <c r="CF126" s="53">
        <v>1</v>
      </c>
      <c r="CI126" s="53">
        <f t="shared" si="31"/>
        <v>2</v>
      </c>
      <c r="CK126" s="66">
        <f t="shared" si="35"/>
        <v>0.03432297923459756</v>
      </c>
      <c r="CL126" s="66"/>
      <c r="CM126" s="66"/>
      <c r="DB126" s="53">
        <v>1</v>
      </c>
      <c r="DU126" s="53">
        <v>1</v>
      </c>
      <c r="DV126" s="66"/>
    </row>
    <row r="127" spans="3:126" ht="12.75">
      <c r="C127" s="53" t="s">
        <v>181</v>
      </c>
      <c r="D127" s="53" t="s">
        <v>182</v>
      </c>
      <c r="E127" s="53">
        <v>8</v>
      </c>
      <c r="K127" s="53">
        <f t="shared" si="25"/>
        <v>0</v>
      </c>
      <c r="R127" s="53">
        <f t="shared" si="22"/>
        <v>0</v>
      </c>
      <c r="T127" s="53">
        <v>1</v>
      </c>
      <c r="Y127" s="53">
        <f t="shared" si="21"/>
        <v>1</v>
      </c>
      <c r="AF127" s="53">
        <f t="shared" si="23"/>
        <v>0</v>
      </c>
      <c r="AH127" s="71">
        <f t="shared" si="24"/>
        <v>0.007797270955165692</v>
      </c>
      <c r="AI127" s="66"/>
      <c r="AJ127" s="66"/>
      <c r="AQ127" s="53">
        <f t="shared" si="26"/>
        <v>0</v>
      </c>
      <c r="AX127" s="53">
        <f t="shared" si="27"/>
        <v>0</v>
      </c>
      <c r="BB127" s="53">
        <v>1</v>
      </c>
      <c r="BG127" s="53">
        <f t="shared" si="28"/>
        <v>1</v>
      </c>
      <c r="BS127" s="53">
        <f t="shared" si="29"/>
        <v>0</v>
      </c>
      <c r="BZ127" s="53">
        <f t="shared" si="30"/>
        <v>0</v>
      </c>
      <c r="CB127" s="71">
        <f t="shared" si="34"/>
        <v>0</v>
      </c>
      <c r="CI127" s="53">
        <f t="shared" si="31"/>
        <v>0</v>
      </c>
      <c r="CK127" s="66">
        <f t="shared" si="35"/>
        <v>0.01716148961729878</v>
      </c>
      <c r="CL127" s="66"/>
      <c r="CM127" s="66"/>
      <c r="DV127" s="66"/>
    </row>
    <row r="128" spans="3:126" ht="12.75">
      <c r="C128" s="53" t="s">
        <v>45</v>
      </c>
      <c r="D128" s="53" t="s">
        <v>539</v>
      </c>
      <c r="E128" s="53">
        <v>8</v>
      </c>
      <c r="K128" s="53">
        <f t="shared" si="25"/>
        <v>0</v>
      </c>
      <c r="R128" s="53">
        <f t="shared" si="22"/>
        <v>0</v>
      </c>
      <c r="Y128" s="53">
        <f t="shared" si="21"/>
        <v>0</v>
      </c>
      <c r="AF128" s="53">
        <f t="shared" si="23"/>
        <v>0</v>
      </c>
      <c r="AH128" s="71">
        <f t="shared" si="24"/>
        <v>0</v>
      </c>
      <c r="AI128" s="66"/>
      <c r="AJ128" s="66"/>
      <c r="CB128" s="71"/>
      <c r="CK128" s="66"/>
      <c r="CL128" s="66"/>
      <c r="CM128" s="66"/>
      <c r="DV128" s="66"/>
    </row>
    <row r="129" spans="4:131" ht="12.75">
      <c r="D129" s="53" t="s">
        <v>379</v>
      </c>
      <c r="E129" s="53">
        <v>6</v>
      </c>
      <c r="H129" s="53">
        <v>1</v>
      </c>
      <c r="K129" s="53">
        <f t="shared" si="25"/>
        <v>1</v>
      </c>
      <c r="R129" s="53">
        <f t="shared" si="22"/>
        <v>0</v>
      </c>
      <c r="T129" s="53">
        <v>1</v>
      </c>
      <c r="U129" s="53">
        <v>1</v>
      </c>
      <c r="W129" s="53">
        <v>1</v>
      </c>
      <c r="X129" s="53">
        <v>3</v>
      </c>
      <c r="Y129" s="53">
        <f t="shared" si="21"/>
        <v>6</v>
      </c>
      <c r="AA129" s="53">
        <v>4</v>
      </c>
      <c r="AE129" s="53">
        <v>2</v>
      </c>
      <c r="AF129" s="53">
        <f t="shared" si="23"/>
        <v>6</v>
      </c>
      <c r="AH129" s="71">
        <f t="shared" si="24"/>
        <v>0.10136452241715399</v>
      </c>
      <c r="AI129" s="66"/>
      <c r="AJ129" s="66"/>
      <c r="AQ129" s="53">
        <f t="shared" si="26"/>
        <v>0</v>
      </c>
      <c r="AT129" s="53">
        <v>1</v>
      </c>
      <c r="AU129" s="53">
        <v>1</v>
      </c>
      <c r="AX129" s="53">
        <f t="shared" si="27"/>
        <v>2</v>
      </c>
      <c r="BG129" s="53">
        <f t="shared" si="28"/>
        <v>0</v>
      </c>
      <c r="BQ129" s="53">
        <v>1</v>
      </c>
      <c r="BS129" s="53">
        <f t="shared" si="29"/>
        <v>1</v>
      </c>
      <c r="BZ129" s="53">
        <f t="shared" si="30"/>
        <v>0</v>
      </c>
      <c r="CB129" s="71">
        <f t="shared" si="34"/>
        <v>0.02788622420524261</v>
      </c>
      <c r="CH129" s="53">
        <v>5</v>
      </c>
      <c r="CI129" s="53">
        <f t="shared" si="31"/>
        <v>5</v>
      </c>
      <c r="CK129" s="66">
        <f t="shared" si="35"/>
        <v>0.0858074480864939</v>
      </c>
      <c r="CL129" s="66"/>
      <c r="CM129" s="66"/>
      <c r="DV129" s="66"/>
      <c r="EA129" s="53">
        <v>2</v>
      </c>
    </row>
    <row r="130" spans="4:126" ht="12.75">
      <c r="D130" s="53" t="s">
        <v>301</v>
      </c>
      <c r="E130" s="53">
        <v>6</v>
      </c>
      <c r="K130" s="53">
        <f t="shared" si="25"/>
        <v>0</v>
      </c>
      <c r="R130" s="53">
        <f t="shared" si="22"/>
        <v>0</v>
      </c>
      <c r="Y130" s="53">
        <f t="shared" si="21"/>
        <v>0</v>
      </c>
      <c r="AF130" s="53">
        <f t="shared" si="23"/>
        <v>0</v>
      </c>
      <c r="AH130" s="71">
        <f t="shared" si="24"/>
        <v>0</v>
      </c>
      <c r="AI130" s="66"/>
      <c r="AJ130" s="66"/>
      <c r="AQ130" s="53">
        <f t="shared" si="26"/>
        <v>0</v>
      </c>
      <c r="AT130" s="53">
        <v>1</v>
      </c>
      <c r="AU130" s="53">
        <v>1</v>
      </c>
      <c r="AV130" s="53">
        <v>2</v>
      </c>
      <c r="AX130" s="53">
        <f t="shared" si="27"/>
        <v>4</v>
      </c>
      <c r="BB130" s="53">
        <v>1</v>
      </c>
      <c r="BC130" s="53">
        <v>2</v>
      </c>
      <c r="BE130" s="53">
        <v>3</v>
      </c>
      <c r="BF130" s="53">
        <v>1</v>
      </c>
      <c r="BG130" s="53">
        <f t="shared" si="28"/>
        <v>7</v>
      </c>
      <c r="BP130" s="53">
        <v>2</v>
      </c>
      <c r="BR130" s="53">
        <v>1</v>
      </c>
      <c r="BS130" s="53">
        <f t="shared" si="29"/>
        <v>3</v>
      </c>
      <c r="BV130" s="53">
        <v>1</v>
      </c>
      <c r="BW130" s="53">
        <v>1</v>
      </c>
      <c r="BX130" s="53">
        <v>3</v>
      </c>
      <c r="BZ130" s="53">
        <f t="shared" si="30"/>
        <v>5</v>
      </c>
      <c r="CB130" s="71">
        <f t="shared" si="34"/>
        <v>0.11154489682097044</v>
      </c>
      <c r="CI130" s="53">
        <f t="shared" si="31"/>
        <v>0</v>
      </c>
      <c r="CK130" s="66">
        <f t="shared" si="35"/>
        <v>0.12013042732109147</v>
      </c>
      <c r="CL130" s="66"/>
      <c r="CM130" s="66"/>
      <c r="DV130" s="66"/>
    </row>
    <row r="131" spans="4:133" ht="12.75">
      <c r="D131" s="53" t="s">
        <v>448</v>
      </c>
      <c r="E131" s="53">
        <v>6</v>
      </c>
      <c r="K131" s="53">
        <f t="shared" si="25"/>
        <v>0</v>
      </c>
      <c r="R131" s="53">
        <f t="shared" si="22"/>
        <v>0</v>
      </c>
      <c r="Y131" s="53">
        <f t="shared" si="21"/>
        <v>0</v>
      </c>
      <c r="AF131" s="53">
        <f t="shared" si="23"/>
        <v>0</v>
      </c>
      <c r="AH131" s="71">
        <f t="shared" si="24"/>
        <v>0</v>
      </c>
      <c r="AI131" s="66"/>
      <c r="AJ131" s="66"/>
      <c r="CB131" s="71"/>
      <c r="CK131" s="66"/>
      <c r="CL131" s="66"/>
      <c r="CM131" s="66"/>
      <c r="DV131" s="66"/>
      <c r="EC131" s="53">
        <v>1</v>
      </c>
    </row>
    <row r="132" spans="4:126" ht="12.75">
      <c r="D132" s="53" t="s">
        <v>494</v>
      </c>
      <c r="E132" s="53">
        <v>6</v>
      </c>
      <c r="K132" s="53">
        <f t="shared" si="25"/>
        <v>0</v>
      </c>
      <c r="R132" s="53">
        <f t="shared" si="22"/>
        <v>0</v>
      </c>
      <c r="Y132" s="53">
        <f t="shared" si="21"/>
        <v>0</v>
      </c>
      <c r="AF132" s="53">
        <f t="shared" si="23"/>
        <v>0</v>
      </c>
      <c r="AH132" s="71">
        <f t="shared" si="24"/>
        <v>0</v>
      </c>
      <c r="AI132" s="66"/>
      <c r="AJ132" s="66"/>
      <c r="CB132" s="71"/>
      <c r="CK132" s="66"/>
      <c r="CL132" s="66"/>
      <c r="CM132" s="66"/>
      <c r="DV132" s="66"/>
    </row>
    <row r="133" spans="4:126" ht="12.75">
      <c r="D133" s="53" t="s">
        <v>190</v>
      </c>
      <c r="E133" s="53">
        <v>6</v>
      </c>
      <c r="K133" s="53">
        <f t="shared" si="25"/>
        <v>0</v>
      </c>
      <c r="R133" s="53">
        <f t="shared" si="22"/>
        <v>0</v>
      </c>
      <c r="U133" s="53">
        <v>1</v>
      </c>
      <c r="Y133" s="53">
        <f t="shared" si="21"/>
        <v>1</v>
      </c>
      <c r="AF133" s="53">
        <f t="shared" si="23"/>
        <v>0</v>
      </c>
      <c r="AH133" s="71">
        <f t="shared" si="24"/>
        <v>0.007797270955165692</v>
      </c>
      <c r="AI133" s="66"/>
      <c r="AJ133" s="66"/>
      <c r="AQ133" s="53">
        <f t="shared" si="26"/>
        <v>0</v>
      </c>
      <c r="AX133" s="53">
        <f t="shared" si="27"/>
        <v>0</v>
      </c>
      <c r="BG133" s="53">
        <f t="shared" si="28"/>
        <v>0</v>
      </c>
      <c r="BS133" s="53">
        <f t="shared" si="29"/>
        <v>0</v>
      </c>
      <c r="BZ133" s="53">
        <f t="shared" si="30"/>
        <v>0</v>
      </c>
      <c r="CB133" s="71">
        <f>100*SUM($AL133:$AP133,$AS133:$AW133,$BN133:$BR133,$BU133:$BY133)/SUM($AQ$169,$AX$169,$BS$169,$BZ$169)</f>
        <v>0</v>
      </c>
      <c r="CI133" s="53">
        <f t="shared" si="31"/>
        <v>0</v>
      </c>
      <c r="CK133" s="66">
        <f>100*(BG133+CI133)/($BG$169+$CI$169)</f>
        <v>0</v>
      </c>
      <c r="CL133" s="66"/>
      <c r="CM133" s="66"/>
      <c r="DV133" s="66"/>
    </row>
    <row r="134" spans="4:126" ht="12.75">
      <c r="D134" s="53" t="s">
        <v>446</v>
      </c>
      <c r="E134" s="53">
        <v>6</v>
      </c>
      <c r="K134" s="53">
        <f t="shared" si="25"/>
        <v>0</v>
      </c>
      <c r="R134" s="53">
        <f t="shared" si="22"/>
        <v>0</v>
      </c>
      <c r="Y134" s="53">
        <f t="shared" si="21"/>
        <v>0</v>
      </c>
      <c r="AF134" s="53">
        <f t="shared" si="23"/>
        <v>0</v>
      </c>
      <c r="AH134" s="71">
        <f t="shared" si="24"/>
        <v>0</v>
      </c>
      <c r="AI134" s="66"/>
      <c r="AJ134" s="66"/>
      <c r="CB134" s="71"/>
      <c r="CK134" s="66"/>
      <c r="CL134" s="66"/>
      <c r="CM134" s="66"/>
      <c r="DS134" s="53">
        <v>1</v>
      </c>
      <c r="DV134" s="66"/>
    </row>
    <row r="135" spans="4:126" ht="12.75">
      <c r="D135" s="53" t="s">
        <v>536</v>
      </c>
      <c r="E135" s="53">
        <v>8</v>
      </c>
      <c r="K135" s="53">
        <f t="shared" si="25"/>
        <v>0</v>
      </c>
      <c r="R135" s="53">
        <f t="shared" si="22"/>
        <v>0</v>
      </c>
      <c r="Y135" s="53">
        <f t="shared" si="21"/>
        <v>0</v>
      </c>
      <c r="AF135" s="53">
        <f t="shared" si="23"/>
        <v>0</v>
      </c>
      <c r="AH135" s="71">
        <f t="shared" si="24"/>
        <v>0</v>
      </c>
      <c r="AI135" s="66"/>
      <c r="AJ135" s="66"/>
      <c r="CB135" s="71"/>
      <c r="CK135" s="66"/>
      <c r="CL135" s="66"/>
      <c r="CM135" s="66"/>
      <c r="CQ135" s="53">
        <v>2</v>
      </c>
      <c r="DV135" s="66"/>
    </row>
    <row r="136" spans="4:126" ht="12.75">
      <c r="D136" s="53" t="s">
        <v>491</v>
      </c>
      <c r="E136" s="53">
        <v>7</v>
      </c>
      <c r="K136" s="53">
        <f t="shared" si="25"/>
        <v>0</v>
      </c>
      <c r="R136" s="53">
        <f t="shared" si="22"/>
        <v>0</v>
      </c>
      <c r="Y136" s="53">
        <f t="shared" si="21"/>
        <v>0</v>
      </c>
      <c r="AF136" s="53">
        <f t="shared" si="23"/>
        <v>0</v>
      </c>
      <c r="AH136" s="71">
        <f t="shared" si="24"/>
        <v>0</v>
      </c>
      <c r="AI136" s="66"/>
      <c r="AJ136" s="66"/>
      <c r="CB136" s="71"/>
      <c r="CK136" s="66"/>
      <c r="CL136" s="66"/>
      <c r="CM136" s="66"/>
      <c r="DV136" s="66"/>
    </row>
    <row r="137" spans="3:126" ht="12.75">
      <c r="C137" s="53" t="s">
        <v>46</v>
      </c>
      <c r="D137" s="53" t="s">
        <v>48</v>
      </c>
      <c r="E137" s="53">
        <v>7</v>
      </c>
      <c r="K137" s="53">
        <f t="shared" si="25"/>
        <v>0</v>
      </c>
      <c r="R137" s="53">
        <f t="shared" si="22"/>
        <v>0</v>
      </c>
      <c r="U137" s="53">
        <v>1</v>
      </c>
      <c r="V137" s="53">
        <v>1</v>
      </c>
      <c r="Y137" s="53">
        <f t="shared" si="21"/>
        <v>2</v>
      </c>
      <c r="AA137" s="53">
        <v>1</v>
      </c>
      <c r="AB137" s="53">
        <v>1</v>
      </c>
      <c r="AC137" s="53">
        <v>9</v>
      </c>
      <c r="AD137" s="53">
        <v>4</v>
      </c>
      <c r="AE137" s="53">
        <v>4</v>
      </c>
      <c r="AF137" s="53">
        <f t="shared" si="23"/>
        <v>19</v>
      </c>
      <c r="AH137" s="71">
        <f t="shared" si="24"/>
        <v>0.16374269005847952</v>
      </c>
      <c r="AI137" s="66"/>
      <c r="AJ137" s="66"/>
      <c r="AL137" s="53">
        <v>1</v>
      </c>
      <c r="AN137" s="53">
        <v>1</v>
      </c>
      <c r="AO137" s="53">
        <v>1</v>
      </c>
      <c r="AQ137" s="53">
        <f t="shared" si="26"/>
        <v>3</v>
      </c>
      <c r="AS137" s="53">
        <v>2</v>
      </c>
      <c r="AT137" s="53">
        <v>1</v>
      </c>
      <c r="AU137" s="53">
        <v>1</v>
      </c>
      <c r="AX137" s="53">
        <f t="shared" si="27"/>
        <v>4</v>
      </c>
      <c r="BD137" s="53">
        <v>1</v>
      </c>
      <c r="BG137" s="53">
        <f t="shared" si="28"/>
        <v>1</v>
      </c>
      <c r="BR137" s="53">
        <v>1</v>
      </c>
      <c r="BS137" s="53">
        <f t="shared" si="29"/>
        <v>1</v>
      </c>
      <c r="BU137" s="53">
        <v>1</v>
      </c>
      <c r="BY137" s="53">
        <v>1</v>
      </c>
      <c r="BZ137" s="53">
        <f t="shared" si="30"/>
        <v>2</v>
      </c>
      <c r="CB137" s="71">
        <f aca="true" t="shared" si="36" ref="CB137:CB163">100*SUM($AL137:$AP137,$AS137:$AW137,$BN137:$BR137,$BU137:$BY137)/SUM($AQ$169,$AX$169,$BS$169,$BZ$169)</f>
        <v>0.09295408068414203</v>
      </c>
      <c r="CH137" s="53">
        <v>1</v>
      </c>
      <c r="CI137" s="53">
        <f t="shared" si="31"/>
        <v>1</v>
      </c>
      <c r="CK137" s="66">
        <f aca="true" t="shared" si="37" ref="CK137:CK163">100*(BG137+CI137)/($BG$169+$CI$169)</f>
        <v>0.03432297923459756</v>
      </c>
      <c r="CL137" s="66"/>
      <c r="CM137" s="66"/>
      <c r="CY137" s="53">
        <v>10</v>
      </c>
      <c r="CZ137" s="53">
        <v>24</v>
      </c>
      <c r="DC137" s="53">
        <v>4</v>
      </c>
      <c r="DT137" s="53">
        <v>1</v>
      </c>
      <c r="DU137" s="53">
        <v>1</v>
      </c>
      <c r="DV137" s="66"/>
    </row>
    <row r="138" spans="4:135" ht="12.75">
      <c r="D138" s="53" t="s">
        <v>179</v>
      </c>
      <c r="E138" s="53">
        <v>6</v>
      </c>
      <c r="F138" s="53">
        <v>5</v>
      </c>
      <c r="G138" s="53">
        <v>2</v>
      </c>
      <c r="H138" s="53">
        <v>2</v>
      </c>
      <c r="I138" s="53">
        <v>6</v>
      </c>
      <c r="J138" s="53">
        <v>16</v>
      </c>
      <c r="K138" s="53">
        <f t="shared" si="25"/>
        <v>31</v>
      </c>
      <c r="M138" s="53">
        <v>77</v>
      </c>
      <c r="N138" s="53">
        <v>46</v>
      </c>
      <c r="O138" s="53">
        <v>91</v>
      </c>
      <c r="P138" s="53">
        <v>113</v>
      </c>
      <c r="Q138" s="53">
        <v>49</v>
      </c>
      <c r="R138" s="53">
        <f t="shared" si="22"/>
        <v>376</v>
      </c>
      <c r="T138" s="53">
        <v>31</v>
      </c>
      <c r="U138" s="53">
        <v>40</v>
      </c>
      <c r="V138" s="53">
        <v>57</v>
      </c>
      <c r="W138" s="53">
        <v>38</v>
      </c>
      <c r="X138" s="53">
        <v>53</v>
      </c>
      <c r="Y138" s="53">
        <f t="shared" si="21"/>
        <v>219</v>
      </c>
      <c r="AA138" s="53">
        <v>20</v>
      </c>
      <c r="AB138" s="53">
        <v>1</v>
      </c>
      <c r="AC138" s="53">
        <v>3</v>
      </c>
      <c r="AD138" s="53">
        <v>1</v>
      </c>
      <c r="AF138" s="53">
        <f t="shared" si="23"/>
        <v>25</v>
      </c>
      <c r="AH138" s="71">
        <f t="shared" si="24"/>
        <v>5.076023391812866</v>
      </c>
      <c r="AI138" s="66"/>
      <c r="AJ138" s="66"/>
      <c r="AL138" s="53">
        <v>6</v>
      </c>
      <c r="AM138" s="53">
        <v>3</v>
      </c>
      <c r="AN138" s="53">
        <v>2</v>
      </c>
      <c r="AO138" s="53">
        <v>4</v>
      </c>
      <c r="AP138" s="53">
        <v>6</v>
      </c>
      <c r="AQ138" s="53">
        <f t="shared" si="26"/>
        <v>21</v>
      </c>
      <c r="AS138" s="53">
        <v>17</v>
      </c>
      <c r="AT138" s="53">
        <v>30</v>
      </c>
      <c r="AU138" s="53">
        <v>20</v>
      </c>
      <c r="AV138" s="53">
        <v>37</v>
      </c>
      <c r="AW138" s="53">
        <v>8</v>
      </c>
      <c r="AX138" s="53">
        <f t="shared" si="27"/>
        <v>112</v>
      </c>
      <c r="BB138" s="53">
        <v>160</v>
      </c>
      <c r="BC138" s="53">
        <v>81</v>
      </c>
      <c r="BD138" s="53">
        <v>13</v>
      </c>
      <c r="BE138" s="53">
        <v>25</v>
      </c>
      <c r="BF138" s="53">
        <v>44</v>
      </c>
      <c r="BG138" s="53">
        <f t="shared" si="28"/>
        <v>323</v>
      </c>
      <c r="BN138" s="53">
        <v>7</v>
      </c>
      <c r="BO138" s="53">
        <v>2</v>
      </c>
      <c r="BP138" s="53">
        <v>6</v>
      </c>
      <c r="BQ138" s="53">
        <v>11</v>
      </c>
      <c r="BR138" s="53">
        <v>5</v>
      </c>
      <c r="BS138" s="53">
        <f t="shared" si="29"/>
        <v>31</v>
      </c>
      <c r="BU138" s="53">
        <v>46</v>
      </c>
      <c r="BV138" s="53">
        <v>8</v>
      </c>
      <c r="BW138" s="53">
        <v>14</v>
      </c>
      <c r="BX138" s="53">
        <v>34</v>
      </c>
      <c r="BY138" s="53">
        <v>10</v>
      </c>
      <c r="BZ138" s="53">
        <f t="shared" si="30"/>
        <v>112</v>
      </c>
      <c r="CB138" s="71">
        <f t="shared" si="36"/>
        <v>2.56553262688232</v>
      </c>
      <c r="CD138" s="53">
        <v>407</v>
      </c>
      <c r="CE138" s="53">
        <v>122</v>
      </c>
      <c r="CF138" s="53">
        <v>67</v>
      </c>
      <c r="CG138" s="53">
        <v>58</v>
      </c>
      <c r="CH138" s="53">
        <v>79</v>
      </c>
      <c r="CI138" s="53">
        <f t="shared" si="31"/>
        <v>733</v>
      </c>
      <c r="CK138" s="66">
        <f t="shared" si="37"/>
        <v>18.122533035867512</v>
      </c>
      <c r="CL138" s="66"/>
      <c r="CM138" s="66"/>
      <c r="CP138" s="53">
        <v>90</v>
      </c>
      <c r="CQ138" s="53">
        <v>40</v>
      </c>
      <c r="CR138" s="53">
        <v>101</v>
      </c>
      <c r="CS138" s="53">
        <v>9</v>
      </c>
      <c r="CT138" s="53">
        <v>41</v>
      </c>
      <c r="CY138" s="53">
        <v>32</v>
      </c>
      <c r="CZ138" s="53">
        <v>37</v>
      </c>
      <c r="DA138" s="53">
        <v>150</v>
      </c>
      <c r="DB138" s="53">
        <v>39</v>
      </c>
      <c r="DC138" s="53">
        <v>114</v>
      </c>
      <c r="DH138" s="53">
        <v>323</v>
      </c>
      <c r="DI138" s="53">
        <v>152</v>
      </c>
      <c r="DJ138" s="53">
        <v>342</v>
      </c>
      <c r="DK138" s="53">
        <v>196</v>
      </c>
      <c r="DL138" s="53">
        <v>334</v>
      </c>
      <c r="DQ138" s="53">
        <v>13</v>
      </c>
      <c r="DR138" s="53">
        <v>17</v>
      </c>
      <c r="DS138" s="53">
        <v>9</v>
      </c>
      <c r="DV138" s="66"/>
      <c r="EA138" s="53">
        <v>11</v>
      </c>
      <c r="EB138" s="53">
        <v>15</v>
      </c>
      <c r="EC138" s="53">
        <v>5</v>
      </c>
      <c r="ED138" s="53">
        <v>15</v>
      </c>
      <c r="EE138" s="53">
        <v>8</v>
      </c>
    </row>
    <row r="139" spans="4:133" ht="12.75">
      <c r="D139" s="53" t="s">
        <v>188</v>
      </c>
      <c r="E139" s="53">
        <v>4</v>
      </c>
      <c r="K139" s="53">
        <f t="shared" si="25"/>
        <v>0</v>
      </c>
      <c r="R139" s="53">
        <f t="shared" si="22"/>
        <v>0</v>
      </c>
      <c r="U139" s="53">
        <v>1</v>
      </c>
      <c r="V139" s="53">
        <v>3</v>
      </c>
      <c r="W139" s="53">
        <v>4</v>
      </c>
      <c r="X139" s="53">
        <v>3</v>
      </c>
      <c r="Y139" s="53">
        <f aca="true" t="shared" si="38" ref="Y139:Y167">SUM(T139:X139)</f>
        <v>11</v>
      </c>
      <c r="AA139" s="53">
        <v>2</v>
      </c>
      <c r="AD139" s="53">
        <v>2</v>
      </c>
      <c r="AF139" s="53">
        <f t="shared" si="23"/>
        <v>4</v>
      </c>
      <c r="AH139" s="71">
        <f t="shared" si="24"/>
        <v>0.11695906432748537</v>
      </c>
      <c r="AI139" s="66"/>
      <c r="AJ139" s="66"/>
      <c r="AQ139" s="53">
        <f t="shared" si="26"/>
        <v>0</v>
      </c>
      <c r="AU139" s="53">
        <v>1</v>
      </c>
      <c r="AX139" s="53">
        <f t="shared" si="27"/>
        <v>1</v>
      </c>
      <c r="BB139" s="53">
        <v>5</v>
      </c>
      <c r="BG139" s="53">
        <f t="shared" si="28"/>
        <v>5</v>
      </c>
      <c r="BS139" s="53">
        <f t="shared" si="29"/>
        <v>0</v>
      </c>
      <c r="BU139" s="53">
        <v>1</v>
      </c>
      <c r="BX139" s="53">
        <v>2</v>
      </c>
      <c r="BZ139" s="53">
        <f t="shared" si="30"/>
        <v>3</v>
      </c>
      <c r="CB139" s="71">
        <f t="shared" si="36"/>
        <v>0.03718163227365681</v>
      </c>
      <c r="CD139" s="53">
        <v>23</v>
      </c>
      <c r="CG139" s="53">
        <v>2</v>
      </c>
      <c r="CH139" s="53">
        <v>4</v>
      </c>
      <c r="CI139" s="53">
        <f t="shared" si="31"/>
        <v>29</v>
      </c>
      <c r="CK139" s="66">
        <f t="shared" si="37"/>
        <v>0.5834906469881586</v>
      </c>
      <c r="CL139" s="66"/>
      <c r="CM139" s="66"/>
      <c r="DI139" s="53">
        <v>1</v>
      </c>
      <c r="DJ139" s="53">
        <v>3</v>
      </c>
      <c r="DK139" s="53">
        <v>2</v>
      </c>
      <c r="DV139" s="66"/>
      <c r="EB139" s="53">
        <v>1</v>
      </c>
      <c r="EC139" s="53">
        <v>1</v>
      </c>
    </row>
    <row r="140" spans="4:126" ht="12.75">
      <c r="D140" s="53" t="s">
        <v>300</v>
      </c>
      <c r="E140" s="53">
        <v>2</v>
      </c>
      <c r="K140" s="53">
        <f t="shared" si="25"/>
        <v>0</v>
      </c>
      <c r="R140" s="53">
        <f aca="true" t="shared" si="39" ref="R140:R168">SUM(M140:Q140)</f>
        <v>0</v>
      </c>
      <c r="Y140" s="53">
        <f t="shared" si="38"/>
        <v>0</v>
      </c>
      <c r="AF140" s="53">
        <f aca="true" t="shared" si="40" ref="AF140:AF168">SUM(AA140:AE140)</f>
        <v>0</v>
      </c>
      <c r="AH140" s="71">
        <f aca="true" t="shared" si="41" ref="AH140:AH168">100*SUM(F140:J140,M140:Q140,T140:X140,AA140:AE140)/SUM($K$169,$R$169,$Y$169,$AF$169)</f>
        <v>0</v>
      </c>
      <c r="AI140" s="66"/>
      <c r="AJ140" s="66"/>
      <c r="AQ140" s="53">
        <f t="shared" si="26"/>
        <v>0</v>
      </c>
      <c r="AT140" s="53">
        <v>1</v>
      </c>
      <c r="AU140" s="53">
        <v>2</v>
      </c>
      <c r="AX140" s="53">
        <f t="shared" si="27"/>
        <v>3</v>
      </c>
      <c r="BG140" s="53">
        <f t="shared" si="28"/>
        <v>0</v>
      </c>
      <c r="BS140" s="53">
        <f t="shared" si="29"/>
        <v>0</v>
      </c>
      <c r="BW140" s="53">
        <v>1</v>
      </c>
      <c r="BZ140" s="53">
        <f t="shared" si="30"/>
        <v>1</v>
      </c>
      <c r="CB140" s="71">
        <f t="shared" si="36"/>
        <v>0.03718163227365681</v>
      </c>
      <c r="CI140" s="53">
        <f t="shared" si="31"/>
        <v>0</v>
      </c>
      <c r="CK140" s="66">
        <f t="shared" si="37"/>
        <v>0</v>
      </c>
      <c r="CL140" s="66"/>
      <c r="CM140" s="66"/>
      <c r="DV140" s="66"/>
    </row>
    <row r="141" spans="4:135" ht="12.75">
      <c r="D141" s="53" t="s">
        <v>206</v>
      </c>
      <c r="E141" s="53">
        <v>6</v>
      </c>
      <c r="K141" s="53">
        <f t="shared" si="25"/>
        <v>0</v>
      </c>
      <c r="R141" s="53">
        <f t="shared" si="39"/>
        <v>0</v>
      </c>
      <c r="W141" s="53">
        <v>1</v>
      </c>
      <c r="Y141" s="53">
        <f t="shared" si="38"/>
        <v>1</v>
      </c>
      <c r="AF141" s="53">
        <f t="shared" si="40"/>
        <v>0</v>
      </c>
      <c r="AH141" s="71">
        <f t="shared" si="41"/>
        <v>0.007797270955165692</v>
      </c>
      <c r="AI141" s="66"/>
      <c r="AJ141" s="66"/>
      <c r="AL141" s="53">
        <v>10</v>
      </c>
      <c r="AM141" s="53">
        <v>14</v>
      </c>
      <c r="AN141" s="53">
        <v>2</v>
      </c>
      <c r="AO141" s="53">
        <v>2</v>
      </c>
      <c r="AP141" s="53">
        <v>4</v>
      </c>
      <c r="AQ141" s="53">
        <f t="shared" si="26"/>
        <v>32</v>
      </c>
      <c r="AS141" s="53">
        <v>10</v>
      </c>
      <c r="AT141" s="53">
        <v>17</v>
      </c>
      <c r="AU141" s="53">
        <v>35</v>
      </c>
      <c r="AV141" s="53">
        <v>5</v>
      </c>
      <c r="AW141" s="53">
        <v>15</v>
      </c>
      <c r="AX141" s="53">
        <f t="shared" si="27"/>
        <v>82</v>
      </c>
      <c r="BB141" s="53">
        <v>8</v>
      </c>
      <c r="BC141" s="53">
        <v>3</v>
      </c>
      <c r="BD141" s="53">
        <v>24</v>
      </c>
      <c r="BE141" s="53">
        <v>14</v>
      </c>
      <c r="BF141" s="53">
        <v>33</v>
      </c>
      <c r="BG141" s="53">
        <f t="shared" si="28"/>
        <v>82</v>
      </c>
      <c r="BN141" s="53">
        <v>11</v>
      </c>
      <c r="BO141" s="53">
        <v>10</v>
      </c>
      <c r="BP141" s="53">
        <v>7</v>
      </c>
      <c r="BQ141" s="53">
        <v>15</v>
      </c>
      <c r="BR141" s="53">
        <v>5</v>
      </c>
      <c r="BS141" s="53">
        <f t="shared" si="29"/>
        <v>48</v>
      </c>
      <c r="BU141" s="53">
        <v>10</v>
      </c>
      <c r="BV141" s="53">
        <v>4</v>
      </c>
      <c r="BW141" s="53">
        <v>3</v>
      </c>
      <c r="BX141" s="53">
        <v>1</v>
      </c>
      <c r="BY141" s="53">
        <v>18</v>
      </c>
      <c r="BZ141" s="53">
        <f t="shared" si="30"/>
        <v>36</v>
      </c>
      <c r="CB141" s="71">
        <f t="shared" si="36"/>
        <v>1.8404907975460123</v>
      </c>
      <c r="CF141" s="53">
        <v>1</v>
      </c>
      <c r="CH141" s="53">
        <v>1</v>
      </c>
      <c r="CI141" s="53">
        <f t="shared" si="31"/>
        <v>2</v>
      </c>
      <c r="CK141" s="66">
        <f t="shared" si="37"/>
        <v>1.4415651278530976</v>
      </c>
      <c r="CL141" s="66"/>
      <c r="CM141" s="66"/>
      <c r="CP141" s="53">
        <v>139</v>
      </c>
      <c r="CQ141" s="53">
        <v>217</v>
      </c>
      <c r="CR141" s="53">
        <v>69</v>
      </c>
      <c r="CS141" s="53">
        <v>128</v>
      </c>
      <c r="CT141" s="53">
        <v>95</v>
      </c>
      <c r="CY141" s="53">
        <v>61</v>
      </c>
      <c r="CZ141" s="53">
        <v>71</v>
      </c>
      <c r="DA141" s="53">
        <v>9</v>
      </c>
      <c r="DB141" s="53">
        <v>38</v>
      </c>
      <c r="DC141" s="53">
        <v>41</v>
      </c>
      <c r="DI141" s="53">
        <v>2</v>
      </c>
      <c r="DJ141" s="53">
        <v>1</v>
      </c>
      <c r="DK141" s="53">
        <v>11</v>
      </c>
      <c r="DR141" s="53">
        <v>89</v>
      </c>
      <c r="DS141" s="53">
        <v>73</v>
      </c>
      <c r="DT141" s="53">
        <v>304</v>
      </c>
      <c r="DU141" s="53">
        <v>308</v>
      </c>
      <c r="DV141" s="66"/>
      <c r="EA141" s="53">
        <v>43</v>
      </c>
      <c r="EB141" s="53">
        <v>41</v>
      </c>
      <c r="EC141" s="53">
        <v>122</v>
      </c>
      <c r="ED141" s="53">
        <v>34</v>
      </c>
      <c r="EE141" s="53">
        <v>35</v>
      </c>
    </row>
    <row r="142" spans="4:135" ht="12.75">
      <c r="D142" s="53" t="s">
        <v>180</v>
      </c>
      <c r="E142" s="53">
        <v>6</v>
      </c>
      <c r="K142" s="53">
        <f t="shared" si="25"/>
        <v>0</v>
      </c>
      <c r="R142" s="53">
        <f t="shared" si="39"/>
        <v>0</v>
      </c>
      <c r="T142" s="53">
        <v>1</v>
      </c>
      <c r="U142" s="53">
        <v>1</v>
      </c>
      <c r="V142" s="53">
        <v>1</v>
      </c>
      <c r="W142" s="53">
        <v>2</v>
      </c>
      <c r="X142" s="53">
        <v>3</v>
      </c>
      <c r="Y142" s="53">
        <f t="shared" si="38"/>
        <v>8</v>
      </c>
      <c r="AA142" s="53">
        <v>2</v>
      </c>
      <c r="AD142" s="53">
        <v>1</v>
      </c>
      <c r="AF142" s="53">
        <f t="shared" si="40"/>
        <v>3</v>
      </c>
      <c r="AH142" s="71">
        <f t="shared" si="41"/>
        <v>0.08576998050682261</v>
      </c>
      <c r="AI142" s="66"/>
      <c r="AJ142" s="66"/>
      <c r="AL142" s="53">
        <v>14</v>
      </c>
      <c r="AM142" s="53">
        <v>10</v>
      </c>
      <c r="AN142" s="53">
        <v>6</v>
      </c>
      <c r="AO142" s="53">
        <v>2</v>
      </c>
      <c r="AP142" s="53">
        <v>52</v>
      </c>
      <c r="AQ142" s="53">
        <f t="shared" si="26"/>
        <v>84</v>
      </c>
      <c r="AS142" s="53">
        <v>36</v>
      </c>
      <c r="AT142" s="53">
        <v>46</v>
      </c>
      <c r="AU142" s="53">
        <v>23</v>
      </c>
      <c r="AV142" s="53">
        <v>145</v>
      </c>
      <c r="AW142" s="53">
        <v>7</v>
      </c>
      <c r="AX142" s="53">
        <f t="shared" si="27"/>
        <v>257</v>
      </c>
      <c r="BB142" s="53">
        <v>113</v>
      </c>
      <c r="BC142" s="53">
        <v>65</v>
      </c>
      <c r="BD142" s="53">
        <v>7</v>
      </c>
      <c r="BE142" s="53">
        <v>40</v>
      </c>
      <c r="BF142" s="53">
        <v>24</v>
      </c>
      <c r="BG142" s="53">
        <f t="shared" si="28"/>
        <v>249</v>
      </c>
      <c r="BN142" s="53">
        <v>1</v>
      </c>
      <c r="BP142" s="53">
        <v>4</v>
      </c>
      <c r="BQ142" s="53">
        <v>6</v>
      </c>
      <c r="BR142" s="53">
        <v>2</v>
      </c>
      <c r="BS142" s="53">
        <f t="shared" si="29"/>
        <v>13</v>
      </c>
      <c r="BW142" s="53">
        <v>1</v>
      </c>
      <c r="BX142" s="53">
        <v>7</v>
      </c>
      <c r="BZ142" s="53">
        <f t="shared" si="30"/>
        <v>8</v>
      </c>
      <c r="CB142" s="71">
        <f t="shared" si="36"/>
        <v>3.3649377207659414</v>
      </c>
      <c r="CF142" s="53">
        <v>7</v>
      </c>
      <c r="CH142" s="53">
        <v>1</v>
      </c>
      <c r="CI142" s="53">
        <f t="shared" si="31"/>
        <v>8</v>
      </c>
      <c r="CK142" s="66">
        <f t="shared" si="37"/>
        <v>4.410502831645787</v>
      </c>
      <c r="CL142" s="66"/>
      <c r="CM142" s="66"/>
      <c r="CR142" s="53">
        <v>16</v>
      </c>
      <c r="CZ142" s="53">
        <v>47</v>
      </c>
      <c r="DC142" s="53">
        <v>13</v>
      </c>
      <c r="DH142" s="53">
        <v>12</v>
      </c>
      <c r="DK142" s="53">
        <v>4</v>
      </c>
      <c r="DR142" s="53">
        <v>7</v>
      </c>
      <c r="DS142" s="53">
        <v>7</v>
      </c>
      <c r="DV142" s="66"/>
      <c r="EA142" s="53">
        <v>14</v>
      </c>
      <c r="EB142" s="53">
        <v>12</v>
      </c>
      <c r="EC142" s="53">
        <v>5</v>
      </c>
      <c r="ED142" s="53">
        <v>26</v>
      </c>
      <c r="EE142" s="53">
        <v>23</v>
      </c>
    </row>
    <row r="143" spans="1:135" ht="12.75">
      <c r="A143" s="53" t="s">
        <v>107</v>
      </c>
      <c r="B143" s="53" t="s">
        <v>108</v>
      </c>
      <c r="C143" s="53" t="s">
        <v>74</v>
      </c>
      <c r="D143" s="53" t="s">
        <v>109</v>
      </c>
      <c r="E143" s="53">
        <v>8</v>
      </c>
      <c r="G143" s="53">
        <v>2</v>
      </c>
      <c r="K143" s="53">
        <f t="shared" si="25"/>
        <v>2</v>
      </c>
      <c r="R143" s="53">
        <f t="shared" si="39"/>
        <v>0</v>
      </c>
      <c r="T143" s="53">
        <v>1</v>
      </c>
      <c r="U143" s="53">
        <v>5</v>
      </c>
      <c r="V143" s="53">
        <v>8</v>
      </c>
      <c r="W143" s="53">
        <v>1</v>
      </c>
      <c r="Y143" s="53">
        <f t="shared" si="38"/>
        <v>15</v>
      </c>
      <c r="AA143" s="53">
        <v>13</v>
      </c>
      <c r="AC143" s="53">
        <v>1</v>
      </c>
      <c r="AD143" s="53">
        <v>21</v>
      </c>
      <c r="AE143" s="53">
        <v>4</v>
      </c>
      <c r="AF143" s="53">
        <f t="shared" si="40"/>
        <v>39</v>
      </c>
      <c r="AH143" s="71">
        <f t="shared" si="41"/>
        <v>0.43664717348927873</v>
      </c>
      <c r="AI143" s="66"/>
      <c r="AJ143" s="66"/>
      <c r="AQ143" s="53">
        <f t="shared" si="26"/>
        <v>0</v>
      </c>
      <c r="AS143" s="53">
        <v>1</v>
      </c>
      <c r="AT143" s="53">
        <v>3</v>
      </c>
      <c r="AV143" s="53">
        <v>2</v>
      </c>
      <c r="AX143" s="53">
        <f t="shared" si="27"/>
        <v>6</v>
      </c>
      <c r="BB143" s="53">
        <v>7</v>
      </c>
      <c r="BC143" s="53">
        <v>6</v>
      </c>
      <c r="BG143" s="53">
        <f t="shared" si="28"/>
        <v>13</v>
      </c>
      <c r="BO143" s="53">
        <v>2</v>
      </c>
      <c r="BS143" s="53">
        <f t="shared" si="29"/>
        <v>2</v>
      </c>
      <c r="BU143" s="53">
        <v>2</v>
      </c>
      <c r="BV143" s="53">
        <v>5</v>
      </c>
      <c r="BW143" s="53">
        <v>3</v>
      </c>
      <c r="BX143" s="53">
        <v>1</v>
      </c>
      <c r="BY143" s="53">
        <v>2</v>
      </c>
      <c r="BZ143" s="53">
        <f t="shared" si="30"/>
        <v>13</v>
      </c>
      <c r="CB143" s="71">
        <f t="shared" si="36"/>
        <v>0.19520356943669828</v>
      </c>
      <c r="CD143" s="53">
        <v>20</v>
      </c>
      <c r="CE143" s="53">
        <v>1</v>
      </c>
      <c r="CF143" s="53">
        <v>1</v>
      </c>
      <c r="CH143" s="53">
        <v>1</v>
      </c>
      <c r="CI143" s="53">
        <f t="shared" si="31"/>
        <v>23</v>
      </c>
      <c r="CK143" s="66">
        <f t="shared" si="37"/>
        <v>0.6178136262227562</v>
      </c>
      <c r="CL143" s="66"/>
      <c r="CM143" s="66"/>
      <c r="CP143" s="53">
        <v>4</v>
      </c>
      <c r="CQ143" s="53">
        <v>1</v>
      </c>
      <c r="CR143" s="53">
        <v>3</v>
      </c>
      <c r="CS143" s="53">
        <v>1</v>
      </c>
      <c r="CT143" s="53">
        <v>2</v>
      </c>
      <c r="DA143" s="53">
        <v>2</v>
      </c>
      <c r="DB143" s="53">
        <v>1</v>
      </c>
      <c r="DC143" s="53">
        <v>2</v>
      </c>
      <c r="DI143" s="53">
        <v>9</v>
      </c>
      <c r="DJ143" s="53">
        <v>5</v>
      </c>
      <c r="DK143" s="53">
        <v>4</v>
      </c>
      <c r="DL143" s="53">
        <v>3</v>
      </c>
      <c r="DQ143" s="53">
        <v>8</v>
      </c>
      <c r="DR143" s="53">
        <v>9</v>
      </c>
      <c r="DS143" s="53">
        <v>5</v>
      </c>
      <c r="DT143" s="53">
        <v>3</v>
      </c>
      <c r="DU143" s="53">
        <v>1</v>
      </c>
      <c r="DV143" s="66"/>
      <c r="EA143" s="53">
        <v>20</v>
      </c>
      <c r="EB143" s="53">
        <v>8</v>
      </c>
      <c r="EC143" s="53">
        <v>6</v>
      </c>
      <c r="ED143" s="53">
        <v>8</v>
      </c>
      <c r="EE143" s="53">
        <v>5</v>
      </c>
    </row>
    <row r="144" spans="1:126" ht="12.75">
      <c r="A144" s="53" t="s">
        <v>83</v>
      </c>
      <c r="B144" s="53" t="s">
        <v>84</v>
      </c>
      <c r="C144" s="53" t="s">
        <v>85</v>
      </c>
      <c r="D144" s="53" t="s">
        <v>86</v>
      </c>
      <c r="E144" s="53">
        <v>8</v>
      </c>
      <c r="F144" s="53">
        <v>1</v>
      </c>
      <c r="K144" s="53">
        <f t="shared" si="25"/>
        <v>1</v>
      </c>
      <c r="R144" s="53">
        <f t="shared" si="39"/>
        <v>0</v>
      </c>
      <c r="U144" s="53">
        <v>1</v>
      </c>
      <c r="W144" s="53">
        <v>3</v>
      </c>
      <c r="Y144" s="53">
        <f t="shared" si="38"/>
        <v>4</v>
      </c>
      <c r="AC144" s="53">
        <v>1</v>
      </c>
      <c r="AD144" s="53">
        <v>7</v>
      </c>
      <c r="AF144" s="53">
        <f t="shared" si="40"/>
        <v>8</v>
      </c>
      <c r="AH144" s="71">
        <f t="shared" si="41"/>
        <v>0.10136452241715399</v>
      </c>
      <c r="AI144" s="66"/>
      <c r="AJ144" s="66"/>
      <c r="AQ144" s="53">
        <f t="shared" si="26"/>
        <v>0</v>
      </c>
      <c r="AT144" s="53">
        <v>1</v>
      </c>
      <c r="AX144" s="53">
        <f t="shared" si="27"/>
        <v>1</v>
      </c>
      <c r="BC144" s="53">
        <v>1</v>
      </c>
      <c r="BF144" s="53">
        <v>2</v>
      </c>
      <c r="BG144" s="53">
        <f t="shared" si="28"/>
        <v>3</v>
      </c>
      <c r="BS144" s="53">
        <f t="shared" si="29"/>
        <v>0</v>
      </c>
      <c r="BU144" s="53">
        <v>1</v>
      </c>
      <c r="BZ144" s="53">
        <f t="shared" si="30"/>
        <v>1</v>
      </c>
      <c r="CB144" s="71">
        <f t="shared" si="36"/>
        <v>0.018590816136828406</v>
      </c>
      <c r="CH144" s="53">
        <v>2</v>
      </c>
      <c r="CI144" s="53">
        <f t="shared" si="31"/>
        <v>2</v>
      </c>
      <c r="CK144" s="66">
        <f t="shared" si="37"/>
        <v>0.0858074480864939</v>
      </c>
      <c r="CL144" s="66"/>
      <c r="CM144" s="66"/>
      <c r="DH144" s="53">
        <v>4</v>
      </c>
      <c r="DJ144" s="53">
        <v>2</v>
      </c>
      <c r="DL144" s="53">
        <v>1</v>
      </c>
      <c r="DQ144" s="53">
        <v>3</v>
      </c>
      <c r="DR144" s="53">
        <v>1</v>
      </c>
      <c r="DV144" s="66"/>
    </row>
    <row r="145" spans="3:126" ht="12.75">
      <c r="C145" s="53" t="s">
        <v>380</v>
      </c>
      <c r="D145" s="53" t="s">
        <v>381</v>
      </c>
      <c r="E145" s="53">
        <v>8</v>
      </c>
      <c r="K145" s="53">
        <f t="shared" si="25"/>
        <v>0</v>
      </c>
      <c r="R145" s="53">
        <f t="shared" si="39"/>
        <v>0</v>
      </c>
      <c r="Y145" s="53">
        <f t="shared" si="38"/>
        <v>0</v>
      </c>
      <c r="AF145" s="53">
        <f t="shared" si="40"/>
        <v>0</v>
      </c>
      <c r="AH145" s="71">
        <f t="shared" si="41"/>
        <v>0</v>
      </c>
      <c r="AI145" s="66"/>
      <c r="AJ145" s="66"/>
      <c r="AQ145" s="53">
        <f t="shared" si="26"/>
        <v>0</v>
      </c>
      <c r="AX145" s="53">
        <f t="shared" si="27"/>
        <v>0</v>
      </c>
      <c r="BG145" s="53">
        <f t="shared" si="28"/>
        <v>0</v>
      </c>
      <c r="BR145" s="53">
        <v>1</v>
      </c>
      <c r="BS145" s="53">
        <f t="shared" si="29"/>
        <v>1</v>
      </c>
      <c r="BZ145" s="53">
        <f t="shared" si="30"/>
        <v>0</v>
      </c>
      <c r="CB145" s="71">
        <f t="shared" si="36"/>
        <v>0.009295408068414203</v>
      </c>
      <c r="CI145" s="53">
        <f t="shared" si="31"/>
        <v>0</v>
      </c>
      <c r="CK145" s="66">
        <f t="shared" si="37"/>
        <v>0</v>
      </c>
      <c r="CL145" s="66"/>
      <c r="CM145" s="66"/>
      <c r="DV145" s="66"/>
    </row>
    <row r="146" spans="2:126" ht="12.75">
      <c r="B146" s="53" t="s">
        <v>290</v>
      </c>
      <c r="C146" s="53" t="s">
        <v>289</v>
      </c>
      <c r="D146" s="53" t="s">
        <v>291</v>
      </c>
      <c r="E146" s="53">
        <v>8</v>
      </c>
      <c r="K146" s="53">
        <f t="shared" si="25"/>
        <v>0</v>
      </c>
      <c r="R146" s="53">
        <f t="shared" si="39"/>
        <v>0</v>
      </c>
      <c r="Y146" s="53">
        <f t="shared" si="38"/>
        <v>0</v>
      </c>
      <c r="AF146" s="53">
        <f t="shared" si="40"/>
        <v>0</v>
      </c>
      <c r="AH146" s="71">
        <f t="shared" si="41"/>
        <v>0</v>
      </c>
      <c r="AI146" s="66"/>
      <c r="AJ146" s="66"/>
      <c r="AM146" s="53">
        <v>1</v>
      </c>
      <c r="AN146" s="53">
        <v>1</v>
      </c>
      <c r="AQ146" s="53">
        <f t="shared" si="26"/>
        <v>2</v>
      </c>
      <c r="AX146" s="53">
        <f t="shared" si="27"/>
        <v>0</v>
      </c>
      <c r="BG146" s="53">
        <f t="shared" si="28"/>
        <v>0</v>
      </c>
      <c r="BS146" s="53">
        <f t="shared" si="29"/>
        <v>0</v>
      </c>
      <c r="BZ146" s="53">
        <f t="shared" si="30"/>
        <v>0</v>
      </c>
      <c r="CB146" s="71">
        <f t="shared" si="36"/>
        <v>0.018590816136828406</v>
      </c>
      <c r="CI146" s="53">
        <f t="shared" si="31"/>
        <v>0</v>
      </c>
      <c r="CK146" s="66">
        <f t="shared" si="37"/>
        <v>0</v>
      </c>
      <c r="CL146" s="66"/>
      <c r="CM146" s="66"/>
      <c r="DV146" s="66"/>
    </row>
    <row r="147" spans="1:135" ht="12.75">
      <c r="A147" s="53" t="s">
        <v>73</v>
      </c>
      <c r="B147" s="53" t="s">
        <v>74</v>
      </c>
      <c r="C147" s="53" t="s">
        <v>74</v>
      </c>
      <c r="D147" s="53" t="s">
        <v>75</v>
      </c>
      <c r="E147" s="53">
        <v>5</v>
      </c>
      <c r="F147" s="53">
        <v>5</v>
      </c>
      <c r="K147" s="53">
        <f t="shared" si="25"/>
        <v>5</v>
      </c>
      <c r="P147" s="53">
        <v>1</v>
      </c>
      <c r="R147" s="53">
        <f t="shared" si="39"/>
        <v>1</v>
      </c>
      <c r="T147" s="53">
        <v>2</v>
      </c>
      <c r="U147" s="53">
        <v>1</v>
      </c>
      <c r="V147" s="53">
        <v>1</v>
      </c>
      <c r="W147" s="53">
        <v>4</v>
      </c>
      <c r="X147" s="53">
        <v>1</v>
      </c>
      <c r="Y147" s="53">
        <f t="shared" si="38"/>
        <v>9</v>
      </c>
      <c r="AA147" s="53">
        <v>3</v>
      </c>
      <c r="AB147" s="53">
        <v>2</v>
      </c>
      <c r="AC147" s="53">
        <v>1</v>
      </c>
      <c r="AD147" s="53">
        <v>6</v>
      </c>
      <c r="AE147" s="53">
        <v>2</v>
      </c>
      <c r="AF147" s="53">
        <f t="shared" si="40"/>
        <v>14</v>
      </c>
      <c r="AH147" s="71">
        <f t="shared" si="41"/>
        <v>0.22612085769980506</v>
      </c>
      <c r="AI147" s="66"/>
      <c r="AJ147" s="66"/>
      <c r="AL147" s="53">
        <v>3</v>
      </c>
      <c r="AM147" s="53">
        <v>8</v>
      </c>
      <c r="AN147" s="53">
        <v>9</v>
      </c>
      <c r="AO147" s="53">
        <v>13</v>
      </c>
      <c r="AP147" s="53">
        <v>18</v>
      </c>
      <c r="AQ147" s="53">
        <f t="shared" si="26"/>
        <v>51</v>
      </c>
      <c r="AS147" s="53">
        <v>31</v>
      </c>
      <c r="AT147" s="53">
        <v>5</v>
      </c>
      <c r="AU147" s="53">
        <v>9</v>
      </c>
      <c r="AV147" s="53">
        <v>1</v>
      </c>
      <c r="AW147" s="53">
        <v>3</v>
      </c>
      <c r="AX147" s="53">
        <f t="shared" si="27"/>
        <v>49</v>
      </c>
      <c r="BB147" s="53">
        <v>2</v>
      </c>
      <c r="BG147" s="53">
        <f t="shared" si="28"/>
        <v>2</v>
      </c>
      <c r="BN147" s="53">
        <v>6</v>
      </c>
      <c r="BO147" s="53">
        <v>3</v>
      </c>
      <c r="BP147" s="53">
        <v>4</v>
      </c>
      <c r="BQ147" s="53">
        <v>4</v>
      </c>
      <c r="BR147" s="53">
        <v>6</v>
      </c>
      <c r="BS147" s="53">
        <f t="shared" si="29"/>
        <v>23</v>
      </c>
      <c r="BU147" s="53">
        <v>9</v>
      </c>
      <c r="BV147" s="53">
        <v>17</v>
      </c>
      <c r="BW147" s="53">
        <v>10</v>
      </c>
      <c r="BX147" s="53">
        <v>2</v>
      </c>
      <c r="BY147" s="53">
        <v>4</v>
      </c>
      <c r="BZ147" s="53">
        <f t="shared" si="30"/>
        <v>42</v>
      </c>
      <c r="CB147" s="71">
        <f t="shared" si="36"/>
        <v>1.5337423312883436</v>
      </c>
      <c r="CD147" s="53">
        <v>18</v>
      </c>
      <c r="CE147" s="53">
        <v>8</v>
      </c>
      <c r="CF147" s="53">
        <v>10</v>
      </c>
      <c r="CG147" s="53">
        <v>4</v>
      </c>
      <c r="CH147" s="53">
        <v>20</v>
      </c>
      <c r="CI147" s="53">
        <f t="shared" si="31"/>
        <v>60</v>
      </c>
      <c r="CK147" s="66">
        <f t="shared" si="37"/>
        <v>1.0640123562725246</v>
      </c>
      <c r="CL147" s="66"/>
      <c r="CM147" s="66"/>
      <c r="CR147" s="53">
        <v>3</v>
      </c>
      <c r="CS147" s="53">
        <v>5</v>
      </c>
      <c r="CT147" s="53">
        <v>6</v>
      </c>
      <c r="CY147" s="53">
        <v>7</v>
      </c>
      <c r="CZ147" s="53">
        <v>1</v>
      </c>
      <c r="DA147" s="53">
        <v>6</v>
      </c>
      <c r="DB147" s="53">
        <v>8</v>
      </c>
      <c r="DC147" s="53">
        <v>37</v>
      </c>
      <c r="DH147" s="53">
        <v>1</v>
      </c>
      <c r="DI147" s="53">
        <v>5</v>
      </c>
      <c r="DJ147" s="53">
        <v>6</v>
      </c>
      <c r="DK147" s="53">
        <v>1</v>
      </c>
      <c r="DL147" s="53">
        <v>10</v>
      </c>
      <c r="DQ147" s="53">
        <v>1</v>
      </c>
      <c r="DS147" s="53">
        <v>1</v>
      </c>
      <c r="DT147" s="53">
        <v>3</v>
      </c>
      <c r="DU147" s="53">
        <v>2</v>
      </c>
      <c r="DV147" s="66"/>
      <c r="EA147" s="53">
        <v>17</v>
      </c>
      <c r="EB147" s="53">
        <v>4</v>
      </c>
      <c r="EC147" s="53">
        <v>4</v>
      </c>
      <c r="ED147" s="53">
        <v>1</v>
      </c>
      <c r="EE147" s="53">
        <v>4</v>
      </c>
    </row>
    <row r="148" spans="1:135" ht="12.75">
      <c r="A148" s="53" t="s">
        <v>76</v>
      </c>
      <c r="B148" s="53" t="s">
        <v>77</v>
      </c>
      <c r="C148" s="53" t="s">
        <v>78</v>
      </c>
      <c r="D148" s="53" t="s">
        <v>76</v>
      </c>
      <c r="E148" s="53">
        <v>4</v>
      </c>
      <c r="F148" s="53">
        <v>5</v>
      </c>
      <c r="G148" s="53">
        <v>1</v>
      </c>
      <c r="H148" s="53">
        <v>3</v>
      </c>
      <c r="I148" s="53">
        <v>18</v>
      </c>
      <c r="J148" s="53">
        <v>2</v>
      </c>
      <c r="K148" s="53">
        <f t="shared" si="25"/>
        <v>29</v>
      </c>
      <c r="R148" s="53">
        <f t="shared" si="39"/>
        <v>0</v>
      </c>
      <c r="Y148" s="53">
        <f t="shared" si="38"/>
        <v>0</v>
      </c>
      <c r="AA148" s="53">
        <v>5</v>
      </c>
      <c r="AB148" s="53">
        <v>5</v>
      </c>
      <c r="AD148" s="53">
        <v>2</v>
      </c>
      <c r="AF148" s="53">
        <f t="shared" si="40"/>
        <v>12</v>
      </c>
      <c r="AH148" s="71">
        <f t="shared" si="41"/>
        <v>0.31968810916179335</v>
      </c>
      <c r="AI148" s="66"/>
      <c r="AJ148" s="66"/>
      <c r="AQ148" s="53">
        <f t="shared" si="26"/>
        <v>0</v>
      </c>
      <c r="AS148" s="53">
        <v>1</v>
      </c>
      <c r="AU148" s="53">
        <v>1</v>
      </c>
      <c r="AX148" s="53">
        <f t="shared" si="27"/>
        <v>2</v>
      </c>
      <c r="BG148" s="53">
        <f t="shared" si="28"/>
        <v>0</v>
      </c>
      <c r="BS148" s="53">
        <f t="shared" si="29"/>
        <v>0</v>
      </c>
      <c r="BU148" s="53">
        <v>1</v>
      </c>
      <c r="BV148" s="53">
        <v>1</v>
      </c>
      <c r="BX148" s="53">
        <v>1</v>
      </c>
      <c r="BY148" s="53">
        <v>1</v>
      </c>
      <c r="BZ148" s="53">
        <f t="shared" si="30"/>
        <v>4</v>
      </c>
      <c r="CB148" s="71">
        <f t="shared" si="36"/>
        <v>0.05577244841048522</v>
      </c>
      <c r="CI148" s="53">
        <f t="shared" si="31"/>
        <v>0</v>
      </c>
      <c r="CK148" s="66">
        <f t="shared" si="37"/>
        <v>0</v>
      </c>
      <c r="CL148" s="66"/>
      <c r="CM148" s="66"/>
      <c r="CY148" s="53">
        <v>1</v>
      </c>
      <c r="DB148" s="53">
        <v>1</v>
      </c>
      <c r="DI148" s="53">
        <v>1</v>
      </c>
      <c r="DV148" s="66"/>
      <c r="EE148" s="53">
        <v>1</v>
      </c>
    </row>
    <row r="149" spans="1:126" ht="12.75">
      <c r="A149" s="53" t="s">
        <v>296</v>
      </c>
      <c r="B149" s="53" t="s">
        <v>297</v>
      </c>
      <c r="C149" s="53" t="s">
        <v>298</v>
      </c>
      <c r="D149" s="53" t="s">
        <v>299</v>
      </c>
      <c r="E149" s="53">
        <v>5</v>
      </c>
      <c r="K149" s="53">
        <f t="shared" si="25"/>
        <v>0</v>
      </c>
      <c r="R149" s="53">
        <f t="shared" si="39"/>
        <v>0</v>
      </c>
      <c r="Y149" s="53">
        <f t="shared" si="38"/>
        <v>0</v>
      </c>
      <c r="AF149" s="53">
        <f t="shared" si="40"/>
        <v>0</v>
      </c>
      <c r="AH149" s="71">
        <f t="shared" si="41"/>
        <v>0</v>
      </c>
      <c r="AI149" s="66"/>
      <c r="AJ149" s="66"/>
      <c r="AQ149" s="53">
        <f t="shared" si="26"/>
        <v>0</v>
      </c>
      <c r="AT149" s="53">
        <v>1</v>
      </c>
      <c r="AU149" s="53">
        <v>1</v>
      </c>
      <c r="AX149" s="53">
        <f t="shared" si="27"/>
        <v>2</v>
      </c>
      <c r="BG149" s="53">
        <f t="shared" si="28"/>
        <v>0</v>
      </c>
      <c r="BS149" s="53">
        <f t="shared" si="29"/>
        <v>0</v>
      </c>
      <c r="BU149" s="53">
        <v>1</v>
      </c>
      <c r="BZ149" s="53">
        <f t="shared" si="30"/>
        <v>1</v>
      </c>
      <c r="CB149" s="71">
        <f t="shared" si="36"/>
        <v>0.02788622420524261</v>
      </c>
      <c r="CG149" s="53">
        <v>1</v>
      </c>
      <c r="CI149" s="53">
        <f t="shared" si="31"/>
        <v>1</v>
      </c>
      <c r="CK149" s="66">
        <f t="shared" si="37"/>
        <v>0.01716148961729878</v>
      </c>
      <c r="CL149" s="66"/>
      <c r="CM149" s="66"/>
      <c r="CQ149" s="53">
        <v>1</v>
      </c>
      <c r="DB149" s="53">
        <v>5</v>
      </c>
      <c r="DV149" s="66"/>
    </row>
    <row r="150" spans="1:135" ht="12.75">
      <c r="A150" s="53" t="s">
        <v>41</v>
      </c>
      <c r="B150" s="53" t="s">
        <v>42</v>
      </c>
      <c r="C150" s="53" t="s">
        <v>130</v>
      </c>
      <c r="D150" s="53" t="s">
        <v>131</v>
      </c>
      <c r="E150" s="53">
        <v>5</v>
      </c>
      <c r="I150" s="53">
        <v>1</v>
      </c>
      <c r="K150" s="53">
        <f aca="true" t="shared" si="42" ref="K150:K168">SUM(F150:J150)</f>
        <v>1</v>
      </c>
      <c r="R150" s="53">
        <f t="shared" si="39"/>
        <v>0</v>
      </c>
      <c r="W150" s="53">
        <v>2</v>
      </c>
      <c r="Y150" s="53">
        <f t="shared" si="38"/>
        <v>2</v>
      </c>
      <c r="AC150" s="53">
        <v>1</v>
      </c>
      <c r="AD150" s="53">
        <v>1</v>
      </c>
      <c r="AF150" s="53">
        <f t="shared" si="40"/>
        <v>2</v>
      </c>
      <c r="AH150" s="71">
        <f t="shared" si="41"/>
        <v>0.03898635477582846</v>
      </c>
      <c r="AI150" s="66"/>
      <c r="AJ150" s="66"/>
      <c r="AN150" s="53">
        <v>1</v>
      </c>
      <c r="AQ150" s="53">
        <f t="shared" si="26"/>
        <v>1</v>
      </c>
      <c r="AX150" s="53">
        <f t="shared" si="27"/>
        <v>0</v>
      </c>
      <c r="BF150" s="53">
        <v>1</v>
      </c>
      <c r="BG150" s="53">
        <f t="shared" si="28"/>
        <v>1</v>
      </c>
      <c r="BN150" s="53">
        <v>1</v>
      </c>
      <c r="BP150" s="53">
        <v>1</v>
      </c>
      <c r="BQ150" s="53">
        <v>1</v>
      </c>
      <c r="BS150" s="53">
        <f t="shared" si="29"/>
        <v>3</v>
      </c>
      <c r="BU150" s="53">
        <v>1</v>
      </c>
      <c r="BW150" s="53">
        <v>1</v>
      </c>
      <c r="BY150" s="53">
        <v>1</v>
      </c>
      <c r="BZ150" s="53">
        <f t="shared" si="30"/>
        <v>3</v>
      </c>
      <c r="CB150" s="71">
        <f t="shared" si="36"/>
        <v>0.06506785647889943</v>
      </c>
      <c r="CD150" s="53">
        <v>4</v>
      </c>
      <c r="CH150" s="53">
        <v>1</v>
      </c>
      <c r="CI150" s="53">
        <f t="shared" si="31"/>
        <v>5</v>
      </c>
      <c r="CK150" s="66">
        <f t="shared" si="37"/>
        <v>0.10296893770379269</v>
      </c>
      <c r="CL150" s="66"/>
      <c r="CM150" s="66"/>
      <c r="CZ150" s="53">
        <v>1</v>
      </c>
      <c r="DC150" s="53">
        <v>1</v>
      </c>
      <c r="DJ150" s="53">
        <v>1</v>
      </c>
      <c r="DV150" s="66"/>
      <c r="EE150" s="53">
        <v>1</v>
      </c>
    </row>
    <row r="151" spans="4:134" ht="12.75">
      <c r="D151" s="53" t="s">
        <v>311</v>
      </c>
      <c r="E151" s="53">
        <v>5</v>
      </c>
      <c r="K151" s="53">
        <f t="shared" si="42"/>
        <v>0</v>
      </c>
      <c r="R151" s="53">
        <f t="shared" si="39"/>
        <v>0</v>
      </c>
      <c r="Y151" s="53">
        <f t="shared" si="38"/>
        <v>0</v>
      </c>
      <c r="AF151" s="53">
        <f t="shared" si="40"/>
        <v>0</v>
      </c>
      <c r="AH151" s="71">
        <f t="shared" si="41"/>
        <v>0</v>
      </c>
      <c r="AI151" s="66"/>
      <c r="AJ151" s="66"/>
      <c r="AQ151" s="53">
        <f t="shared" si="26"/>
        <v>0</v>
      </c>
      <c r="AX151" s="53">
        <f t="shared" si="27"/>
        <v>0</v>
      </c>
      <c r="BE151" s="53">
        <v>1</v>
      </c>
      <c r="BG151" s="53">
        <f t="shared" si="28"/>
        <v>1</v>
      </c>
      <c r="BS151" s="53">
        <f t="shared" si="29"/>
        <v>0</v>
      </c>
      <c r="BZ151" s="53">
        <f t="shared" si="30"/>
        <v>0</v>
      </c>
      <c r="CB151" s="71">
        <f t="shared" si="36"/>
        <v>0</v>
      </c>
      <c r="CI151" s="53">
        <f t="shared" si="31"/>
        <v>0</v>
      </c>
      <c r="CK151" s="66">
        <f t="shared" si="37"/>
        <v>0.01716148961729878</v>
      </c>
      <c r="CL151" s="66"/>
      <c r="CM151" s="66"/>
      <c r="CR151" s="53">
        <v>4</v>
      </c>
      <c r="CT151" s="53">
        <v>2</v>
      </c>
      <c r="DB151" s="53">
        <v>2</v>
      </c>
      <c r="DQ151" s="53">
        <v>2</v>
      </c>
      <c r="DR151" s="53">
        <v>2</v>
      </c>
      <c r="DS151" s="53">
        <v>1</v>
      </c>
      <c r="DV151" s="66"/>
      <c r="EA151" s="53">
        <v>3</v>
      </c>
      <c r="EB151" s="53">
        <v>1</v>
      </c>
      <c r="ED151" s="53">
        <v>1</v>
      </c>
    </row>
    <row r="152" spans="3:135" ht="12.75">
      <c r="C152" s="53" t="s">
        <v>183</v>
      </c>
      <c r="D152" s="53" t="s">
        <v>184</v>
      </c>
      <c r="E152" s="53">
        <v>5</v>
      </c>
      <c r="K152" s="53">
        <f t="shared" si="42"/>
        <v>0</v>
      </c>
      <c r="R152" s="53">
        <f t="shared" si="39"/>
        <v>0</v>
      </c>
      <c r="T152" s="53">
        <v>1</v>
      </c>
      <c r="U152" s="53">
        <v>4</v>
      </c>
      <c r="V152" s="53">
        <v>3</v>
      </c>
      <c r="W152" s="53">
        <v>8</v>
      </c>
      <c r="X152" s="53">
        <v>2</v>
      </c>
      <c r="Y152" s="53">
        <f t="shared" si="38"/>
        <v>18</v>
      </c>
      <c r="AA152" s="53">
        <v>2</v>
      </c>
      <c r="AB152" s="53">
        <v>1</v>
      </c>
      <c r="AC152" s="53">
        <v>2</v>
      </c>
      <c r="AD152" s="53">
        <v>4</v>
      </c>
      <c r="AE152" s="53">
        <v>6</v>
      </c>
      <c r="AF152" s="53">
        <f t="shared" si="40"/>
        <v>15</v>
      </c>
      <c r="AH152" s="71">
        <f t="shared" si="41"/>
        <v>0.2573099415204678</v>
      </c>
      <c r="AI152" s="66"/>
      <c r="AJ152" s="66"/>
      <c r="AL152" s="53">
        <v>1</v>
      </c>
      <c r="AM152" s="53">
        <v>3</v>
      </c>
      <c r="AQ152" s="53">
        <f t="shared" si="26"/>
        <v>4</v>
      </c>
      <c r="AS152" s="53">
        <v>2</v>
      </c>
      <c r="AT152" s="53">
        <v>1</v>
      </c>
      <c r="AU152" s="53">
        <v>5</v>
      </c>
      <c r="AV152" s="53">
        <v>2</v>
      </c>
      <c r="AW152" s="53">
        <v>1</v>
      </c>
      <c r="AX152" s="53">
        <f t="shared" si="27"/>
        <v>11</v>
      </c>
      <c r="BB152" s="53">
        <v>3</v>
      </c>
      <c r="BD152" s="53">
        <v>2</v>
      </c>
      <c r="BE152" s="53">
        <v>2</v>
      </c>
      <c r="BF152" s="53">
        <v>5</v>
      </c>
      <c r="BG152" s="53">
        <f t="shared" si="28"/>
        <v>12</v>
      </c>
      <c r="BN152" s="53">
        <v>2</v>
      </c>
      <c r="BP152" s="53">
        <v>1</v>
      </c>
      <c r="BQ152" s="53">
        <v>2</v>
      </c>
      <c r="BS152" s="53">
        <f t="shared" si="29"/>
        <v>5</v>
      </c>
      <c r="BU152" s="53">
        <v>2</v>
      </c>
      <c r="BV152" s="53">
        <v>3</v>
      </c>
      <c r="BX152" s="53">
        <v>4</v>
      </c>
      <c r="BY152" s="53">
        <v>2</v>
      </c>
      <c r="BZ152" s="53">
        <f t="shared" si="30"/>
        <v>11</v>
      </c>
      <c r="CB152" s="71">
        <f t="shared" si="36"/>
        <v>0.2881576501208403</v>
      </c>
      <c r="CD152" s="53">
        <v>6</v>
      </c>
      <c r="CE152" s="53">
        <v>1</v>
      </c>
      <c r="CG152" s="53">
        <v>2</v>
      </c>
      <c r="CH152" s="53">
        <v>3</v>
      </c>
      <c r="CI152" s="53">
        <f t="shared" si="31"/>
        <v>12</v>
      </c>
      <c r="CK152" s="66">
        <f t="shared" si="37"/>
        <v>0.41187575081517075</v>
      </c>
      <c r="CL152" s="66"/>
      <c r="CM152" s="66"/>
      <c r="CQ152" s="53">
        <v>3</v>
      </c>
      <c r="CR152" s="53">
        <v>7</v>
      </c>
      <c r="CS152" s="53">
        <v>2</v>
      </c>
      <c r="CT152" s="53">
        <v>3</v>
      </c>
      <c r="DA152" s="53">
        <v>2</v>
      </c>
      <c r="DB152" s="53">
        <v>1</v>
      </c>
      <c r="DC152" s="53">
        <v>2</v>
      </c>
      <c r="DI152" s="53">
        <v>1</v>
      </c>
      <c r="DK152" s="53">
        <v>1</v>
      </c>
      <c r="DL152" s="53">
        <v>3</v>
      </c>
      <c r="DQ152" s="53">
        <v>1</v>
      </c>
      <c r="DR152" s="53">
        <v>11</v>
      </c>
      <c r="DS152" s="53">
        <v>14</v>
      </c>
      <c r="DT152" s="53">
        <v>5</v>
      </c>
      <c r="DU152" s="53">
        <v>1</v>
      </c>
      <c r="DV152" s="66"/>
      <c r="EA152" s="53">
        <v>17</v>
      </c>
      <c r="EB152" s="53">
        <v>7</v>
      </c>
      <c r="EC152" s="53">
        <v>10</v>
      </c>
      <c r="ED152" s="53">
        <v>15</v>
      </c>
      <c r="EE152" s="53">
        <v>4</v>
      </c>
    </row>
    <row r="153" spans="4:126" ht="12.75">
      <c r="D153" s="53" t="s">
        <v>541</v>
      </c>
      <c r="E153" s="53">
        <v>5</v>
      </c>
      <c r="K153" s="53">
        <f t="shared" si="42"/>
        <v>0</v>
      </c>
      <c r="R153" s="53">
        <f t="shared" si="39"/>
        <v>0</v>
      </c>
      <c r="Y153" s="53">
        <f t="shared" si="38"/>
        <v>0</v>
      </c>
      <c r="AF153" s="53">
        <f t="shared" si="40"/>
        <v>0</v>
      </c>
      <c r="AH153" s="71">
        <f t="shared" si="41"/>
        <v>0</v>
      </c>
      <c r="AI153" s="66"/>
      <c r="AJ153" s="66"/>
      <c r="CB153" s="71"/>
      <c r="CK153" s="66"/>
      <c r="CL153" s="66"/>
      <c r="CM153" s="66"/>
      <c r="DV153" s="66"/>
    </row>
    <row r="154" spans="4:135" ht="12.75">
      <c r="D154" s="53" t="s">
        <v>319</v>
      </c>
      <c r="E154" s="53">
        <v>5</v>
      </c>
      <c r="K154" s="53">
        <f t="shared" si="42"/>
        <v>0</v>
      </c>
      <c r="R154" s="53">
        <f t="shared" si="39"/>
        <v>0</v>
      </c>
      <c r="Y154" s="53">
        <f t="shared" si="38"/>
        <v>0</v>
      </c>
      <c r="AF154" s="53">
        <f t="shared" si="40"/>
        <v>0</v>
      </c>
      <c r="AH154" s="71">
        <f t="shared" si="41"/>
        <v>0</v>
      </c>
      <c r="AI154" s="66"/>
      <c r="AJ154" s="66"/>
      <c r="AQ154" s="53">
        <f t="shared" si="26"/>
        <v>0</v>
      </c>
      <c r="AX154" s="53">
        <f t="shared" si="27"/>
        <v>0</v>
      </c>
      <c r="BF154" s="53">
        <v>1</v>
      </c>
      <c r="BG154" s="53">
        <f t="shared" si="28"/>
        <v>1</v>
      </c>
      <c r="BO154" s="53">
        <v>1</v>
      </c>
      <c r="BS154" s="53">
        <f t="shared" si="29"/>
        <v>1</v>
      </c>
      <c r="BV154" s="53">
        <v>1</v>
      </c>
      <c r="BX154" s="53">
        <v>1</v>
      </c>
      <c r="BZ154" s="53">
        <f t="shared" si="30"/>
        <v>2</v>
      </c>
      <c r="CB154" s="71">
        <f t="shared" si="36"/>
        <v>0.02788622420524261</v>
      </c>
      <c r="CI154" s="53">
        <f t="shared" si="31"/>
        <v>0</v>
      </c>
      <c r="CK154" s="66">
        <f t="shared" si="37"/>
        <v>0.01716148961729878</v>
      </c>
      <c r="CL154" s="66"/>
      <c r="CM154" s="66"/>
      <c r="CP154" s="53">
        <v>1</v>
      </c>
      <c r="CQ154" s="53">
        <v>1</v>
      </c>
      <c r="CR154" s="53">
        <v>2</v>
      </c>
      <c r="CT154" s="53">
        <v>5</v>
      </c>
      <c r="DL154" s="53">
        <v>1</v>
      </c>
      <c r="DQ154" s="53">
        <v>7</v>
      </c>
      <c r="DR154" s="53">
        <v>3</v>
      </c>
      <c r="DS154" s="53">
        <v>4</v>
      </c>
      <c r="DT154" s="53">
        <v>2</v>
      </c>
      <c r="DU154" s="53">
        <v>6</v>
      </c>
      <c r="DV154" s="66"/>
      <c r="EA154" s="53">
        <v>10</v>
      </c>
      <c r="EB154" s="53">
        <v>5</v>
      </c>
      <c r="EC154" s="53">
        <v>7</v>
      </c>
      <c r="ED154" s="53">
        <v>9</v>
      </c>
      <c r="EE154" s="53">
        <v>4</v>
      </c>
    </row>
    <row r="155" spans="3:126" ht="12.75">
      <c r="C155" s="53" t="s">
        <v>317</v>
      </c>
      <c r="D155" s="53" t="s">
        <v>318</v>
      </c>
      <c r="E155" s="53">
        <v>5</v>
      </c>
      <c r="K155" s="53">
        <f t="shared" si="42"/>
        <v>0</v>
      </c>
      <c r="R155" s="53">
        <f t="shared" si="39"/>
        <v>0</v>
      </c>
      <c r="Y155" s="53">
        <f t="shared" si="38"/>
        <v>0</v>
      </c>
      <c r="AF155" s="53">
        <f t="shared" si="40"/>
        <v>0</v>
      </c>
      <c r="AH155" s="71">
        <f t="shared" si="41"/>
        <v>0</v>
      </c>
      <c r="AI155" s="66"/>
      <c r="AJ155" s="66"/>
      <c r="AQ155" s="53">
        <f t="shared" si="26"/>
        <v>0</v>
      </c>
      <c r="AX155" s="53">
        <f t="shared" si="27"/>
        <v>0</v>
      </c>
      <c r="BF155" s="53">
        <v>1</v>
      </c>
      <c r="BG155" s="53">
        <f t="shared" si="28"/>
        <v>1</v>
      </c>
      <c r="BS155" s="53">
        <f t="shared" si="29"/>
        <v>0</v>
      </c>
      <c r="BZ155" s="53">
        <f t="shared" si="30"/>
        <v>0</v>
      </c>
      <c r="CB155" s="71">
        <f t="shared" si="36"/>
        <v>0</v>
      </c>
      <c r="CI155" s="53">
        <f t="shared" si="31"/>
        <v>0</v>
      </c>
      <c r="CK155" s="66">
        <f t="shared" si="37"/>
        <v>0.01716148961729878</v>
      </c>
      <c r="CL155" s="66"/>
      <c r="CM155" s="66"/>
      <c r="DI155" s="53">
        <v>1</v>
      </c>
      <c r="DV155" s="66"/>
    </row>
    <row r="156" spans="3:126" ht="12.75">
      <c r="C156" s="53" t="s">
        <v>312</v>
      </c>
      <c r="D156" s="53" t="s">
        <v>313</v>
      </c>
      <c r="E156" s="53">
        <v>5</v>
      </c>
      <c r="K156" s="53">
        <f t="shared" si="42"/>
        <v>0</v>
      </c>
      <c r="R156" s="53">
        <f t="shared" si="39"/>
        <v>0</v>
      </c>
      <c r="Y156" s="53">
        <f t="shared" si="38"/>
        <v>0</v>
      </c>
      <c r="AF156" s="53">
        <f t="shared" si="40"/>
        <v>0</v>
      </c>
      <c r="AH156" s="71">
        <f t="shared" si="41"/>
        <v>0</v>
      </c>
      <c r="AI156" s="66"/>
      <c r="AJ156" s="66"/>
      <c r="AQ156" s="53">
        <f t="shared" si="26"/>
        <v>0</v>
      </c>
      <c r="AX156" s="53">
        <f t="shared" si="27"/>
        <v>0</v>
      </c>
      <c r="BE156" s="53">
        <v>1</v>
      </c>
      <c r="BG156" s="53">
        <f t="shared" si="28"/>
        <v>1</v>
      </c>
      <c r="BS156" s="53">
        <f t="shared" si="29"/>
        <v>0</v>
      </c>
      <c r="BV156" s="53">
        <v>1</v>
      </c>
      <c r="BZ156" s="53">
        <f t="shared" si="30"/>
        <v>1</v>
      </c>
      <c r="CB156" s="71">
        <f t="shared" si="36"/>
        <v>0.009295408068414203</v>
      </c>
      <c r="CI156" s="53">
        <f t="shared" si="31"/>
        <v>0</v>
      </c>
      <c r="CK156" s="66">
        <f t="shared" si="37"/>
        <v>0.01716148961729878</v>
      </c>
      <c r="CL156" s="66"/>
      <c r="CM156" s="66"/>
      <c r="DV156" s="66"/>
    </row>
    <row r="157" spans="4:126" ht="12.75">
      <c r="D157" s="53" t="s">
        <v>490</v>
      </c>
      <c r="E157" s="53">
        <v>8</v>
      </c>
      <c r="K157" s="53">
        <f t="shared" si="42"/>
        <v>0</v>
      </c>
      <c r="R157" s="53">
        <f t="shared" si="39"/>
        <v>0</v>
      </c>
      <c r="Y157" s="53">
        <f t="shared" si="38"/>
        <v>0</v>
      </c>
      <c r="AF157" s="53">
        <f t="shared" si="40"/>
        <v>0</v>
      </c>
      <c r="AH157" s="71">
        <f t="shared" si="41"/>
        <v>0</v>
      </c>
      <c r="AI157" s="66"/>
      <c r="AJ157" s="66"/>
      <c r="CB157" s="71"/>
      <c r="CK157" s="66"/>
      <c r="CL157" s="66"/>
      <c r="CM157" s="66"/>
      <c r="CS157" s="53">
        <v>2</v>
      </c>
      <c r="CT157" s="53">
        <v>4</v>
      </c>
      <c r="DB157" s="53">
        <v>1</v>
      </c>
      <c r="DI157" s="53">
        <v>1</v>
      </c>
      <c r="DV157" s="66"/>
    </row>
    <row r="158" spans="3:126" ht="12.75">
      <c r="C158" s="53" t="s">
        <v>145</v>
      </c>
      <c r="D158" s="53" t="s">
        <v>146</v>
      </c>
      <c r="E158" s="53">
        <v>5</v>
      </c>
      <c r="K158" s="53">
        <f t="shared" si="42"/>
        <v>0</v>
      </c>
      <c r="P158" s="53">
        <v>2</v>
      </c>
      <c r="Q158" s="53">
        <v>2</v>
      </c>
      <c r="R158" s="53">
        <f t="shared" si="39"/>
        <v>4</v>
      </c>
      <c r="U158" s="53">
        <v>1</v>
      </c>
      <c r="W158" s="53">
        <v>2</v>
      </c>
      <c r="Y158" s="53">
        <f t="shared" si="38"/>
        <v>3</v>
      </c>
      <c r="AF158" s="53">
        <f t="shared" si="40"/>
        <v>0</v>
      </c>
      <c r="AH158" s="71">
        <f t="shared" si="41"/>
        <v>0.05458089668615984</v>
      </c>
      <c r="AI158" s="66"/>
      <c r="AJ158" s="66"/>
      <c r="AQ158" s="53">
        <f t="shared" si="26"/>
        <v>0</v>
      </c>
      <c r="AU158" s="53">
        <v>2</v>
      </c>
      <c r="AX158" s="53">
        <f t="shared" si="27"/>
        <v>2</v>
      </c>
      <c r="BG158" s="53">
        <f t="shared" si="28"/>
        <v>0</v>
      </c>
      <c r="BS158" s="53">
        <f t="shared" si="29"/>
        <v>0</v>
      </c>
      <c r="BW158" s="53">
        <v>1</v>
      </c>
      <c r="BZ158" s="53">
        <f t="shared" si="30"/>
        <v>1</v>
      </c>
      <c r="CB158" s="71">
        <f t="shared" si="36"/>
        <v>0.02788622420524261</v>
      </c>
      <c r="CI158" s="53">
        <f t="shared" si="31"/>
        <v>0</v>
      </c>
      <c r="CK158" s="66">
        <f t="shared" si="37"/>
        <v>0</v>
      </c>
      <c r="CL158" s="66"/>
      <c r="CM158" s="66"/>
      <c r="DL158" s="53">
        <v>1</v>
      </c>
      <c r="DV158" s="66"/>
    </row>
    <row r="159" spans="4:126" ht="12.75">
      <c r="D159" s="53" t="s">
        <v>210</v>
      </c>
      <c r="E159" s="53">
        <v>5</v>
      </c>
      <c r="K159" s="53">
        <f t="shared" si="42"/>
        <v>0</v>
      </c>
      <c r="R159" s="53">
        <f t="shared" si="39"/>
        <v>0</v>
      </c>
      <c r="X159" s="53">
        <v>5</v>
      </c>
      <c r="Y159" s="53">
        <f t="shared" si="38"/>
        <v>5</v>
      </c>
      <c r="AA159" s="53">
        <v>1</v>
      </c>
      <c r="AB159" s="53">
        <v>1</v>
      </c>
      <c r="AC159" s="53">
        <v>2</v>
      </c>
      <c r="AE159" s="53">
        <v>1</v>
      </c>
      <c r="AF159" s="53">
        <f t="shared" si="40"/>
        <v>5</v>
      </c>
      <c r="AH159" s="71">
        <f t="shared" si="41"/>
        <v>0.07797270955165692</v>
      </c>
      <c r="AI159" s="66"/>
      <c r="AJ159" s="66"/>
      <c r="AL159" s="53">
        <v>1</v>
      </c>
      <c r="AM159" s="53">
        <v>3</v>
      </c>
      <c r="AN159" s="53">
        <v>1</v>
      </c>
      <c r="AO159" s="53">
        <v>1</v>
      </c>
      <c r="AP159" s="53">
        <v>1</v>
      </c>
      <c r="AQ159" s="53">
        <f t="shared" si="26"/>
        <v>7</v>
      </c>
      <c r="AS159" s="53">
        <v>1</v>
      </c>
      <c r="AT159" s="53">
        <v>1</v>
      </c>
      <c r="AU159" s="53">
        <v>2</v>
      </c>
      <c r="AW159" s="53">
        <v>1</v>
      </c>
      <c r="AX159" s="53">
        <f t="shared" si="27"/>
        <v>5</v>
      </c>
      <c r="BC159" s="53">
        <v>2</v>
      </c>
      <c r="BD159" s="53">
        <v>3</v>
      </c>
      <c r="BE159" s="53">
        <v>1</v>
      </c>
      <c r="BG159" s="53">
        <f t="shared" si="28"/>
        <v>6</v>
      </c>
      <c r="BN159" s="53">
        <v>1</v>
      </c>
      <c r="BO159" s="53">
        <v>2</v>
      </c>
      <c r="BP159" s="53">
        <v>1</v>
      </c>
      <c r="BQ159" s="53">
        <v>3</v>
      </c>
      <c r="BR159" s="53">
        <v>2</v>
      </c>
      <c r="BS159" s="53">
        <f t="shared" si="29"/>
        <v>9</v>
      </c>
      <c r="BU159" s="53">
        <v>7</v>
      </c>
      <c r="BX159" s="53">
        <v>4</v>
      </c>
      <c r="BY159" s="53">
        <v>3</v>
      </c>
      <c r="BZ159" s="53">
        <f t="shared" si="30"/>
        <v>14</v>
      </c>
      <c r="CB159" s="71">
        <f t="shared" si="36"/>
        <v>0.3253392823944971</v>
      </c>
      <c r="CD159" s="53">
        <v>5</v>
      </c>
      <c r="CE159" s="53">
        <v>1</v>
      </c>
      <c r="CF159" s="53">
        <v>1</v>
      </c>
      <c r="CI159" s="53">
        <f t="shared" si="31"/>
        <v>7</v>
      </c>
      <c r="CK159" s="66">
        <f t="shared" si="37"/>
        <v>0.22309936502488417</v>
      </c>
      <c r="CL159" s="66"/>
      <c r="CM159" s="66"/>
      <c r="CS159" s="53">
        <v>3</v>
      </c>
      <c r="CT159" s="53">
        <v>2</v>
      </c>
      <c r="CY159" s="53">
        <v>2</v>
      </c>
      <c r="DA159" s="53">
        <v>1</v>
      </c>
      <c r="DB159" s="53">
        <v>3</v>
      </c>
      <c r="DC159" s="53">
        <v>1</v>
      </c>
      <c r="DH159" s="53">
        <v>2</v>
      </c>
      <c r="DI159" s="53">
        <v>2</v>
      </c>
      <c r="DK159" s="53">
        <v>4</v>
      </c>
      <c r="DV159" s="66"/>
    </row>
    <row r="160" spans="3:126" ht="12.75">
      <c r="C160" s="53" t="s">
        <v>387</v>
      </c>
      <c r="D160" s="53" t="s">
        <v>388</v>
      </c>
      <c r="E160" s="53">
        <v>5</v>
      </c>
      <c r="K160" s="53">
        <f t="shared" si="42"/>
        <v>0</v>
      </c>
      <c r="R160" s="53">
        <f t="shared" si="39"/>
        <v>0</v>
      </c>
      <c r="Y160" s="53">
        <f t="shared" si="38"/>
        <v>0</v>
      </c>
      <c r="AF160" s="53">
        <f t="shared" si="40"/>
        <v>0</v>
      </c>
      <c r="AH160" s="71">
        <f t="shared" si="41"/>
        <v>0</v>
      </c>
      <c r="AI160" s="66"/>
      <c r="AJ160" s="66"/>
      <c r="AQ160" s="53">
        <f t="shared" si="26"/>
        <v>0</v>
      </c>
      <c r="AX160" s="53">
        <f t="shared" si="27"/>
        <v>0</v>
      </c>
      <c r="BG160" s="53">
        <f t="shared" si="28"/>
        <v>0</v>
      </c>
      <c r="BS160" s="53">
        <f t="shared" si="29"/>
        <v>0</v>
      </c>
      <c r="BW160" s="53">
        <v>1</v>
      </c>
      <c r="BZ160" s="53">
        <f t="shared" si="30"/>
        <v>1</v>
      </c>
      <c r="CB160" s="71">
        <f t="shared" si="36"/>
        <v>0.009295408068414203</v>
      </c>
      <c r="CI160" s="53">
        <f t="shared" si="31"/>
        <v>0</v>
      </c>
      <c r="CK160" s="66">
        <f t="shared" si="37"/>
        <v>0</v>
      </c>
      <c r="CL160" s="66"/>
      <c r="CM160" s="66"/>
      <c r="DV160" s="66"/>
    </row>
    <row r="161" spans="3:135" ht="12.75">
      <c r="C161" s="53" t="s">
        <v>53</v>
      </c>
      <c r="D161" s="53" t="s">
        <v>113</v>
      </c>
      <c r="E161" s="53">
        <v>5</v>
      </c>
      <c r="H161" s="53">
        <v>1</v>
      </c>
      <c r="I161" s="53">
        <v>1</v>
      </c>
      <c r="K161" s="53">
        <f t="shared" si="42"/>
        <v>2</v>
      </c>
      <c r="M161" s="53">
        <v>1</v>
      </c>
      <c r="O161" s="53">
        <v>2</v>
      </c>
      <c r="P161" s="53">
        <v>1</v>
      </c>
      <c r="Q161" s="53">
        <v>1</v>
      </c>
      <c r="R161" s="53">
        <f t="shared" si="39"/>
        <v>5</v>
      </c>
      <c r="T161" s="53">
        <v>6</v>
      </c>
      <c r="U161" s="53">
        <v>10</v>
      </c>
      <c r="V161" s="53">
        <v>18</v>
      </c>
      <c r="W161" s="53">
        <v>17</v>
      </c>
      <c r="X161" s="53">
        <v>10</v>
      </c>
      <c r="Y161" s="53">
        <f t="shared" si="38"/>
        <v>61</v>
      </c>
      <c r="AA161" s="53">
        <v>6</v>
      </c>
      <c r="AB161" s="53">
        <v>2</v>
      </c>
      <c r="AC161" s="53">
        <v>3</v>
      </c>
      <c r="AE161" s="53">
        <v>1</v>
      </c>
      <c r="AF161" s="53">
        <f t="shared" si="40"/>
        <v>12</v>
      </c>
      <c r="AH161" s="71">
        <f t="shared" si="41"/>
        <v>0.6237816764132553</v>
      </c>
      <c r="AI161" s="66"/>
      <c r="AJ161" s="66"/>
      <c r="AL161" s="53">
        <v>13</v>
      </c>
      <c r="AM161" s="53">
        <v>17</v>
      </c>
      <c r="AN161" s="53">
        <v>9</v>
      </c>
      <c r="AO161" s="53">
        <v>4</v>
      </c>
      <c r="AP161" s="53">
        <v>8</v>
      </c>
      <c r="AQ161" s="53">
        <f t="shared" si="26"/>
        <v>51</v>
      </c>
      <c r="AS161" s="53">
        <v>15</v>
      </c>
      <c r="AT161" s="53">
        <v>10</v>
      </c>
      <c r="AU161" s="53">
        <v>24</v>
      </c>
      <c r="AV161" s="53">
        <v>33</v>
      </c>
      <c r="AW161" s="53">
        <v>7</v>
      </c>
      <c r="AX161" s="53">
        <f t="shared" si="27"/>
        <v>89</v>
      </c>
      <c r="BB161" s="53">
        <v>19</v>
      </c>
      <c r="BC161" s="53">
        <v>7</v>
      </c>
      <c r="BD161" s="53">
        <v>5</v>
      </c>
      <c r="BE161" s="53">
        <v>10</v>
      </c>
      <c r="BF161" s="53">
        <v>25</v>
      </c>
      <c r="BG161" s="53">
        <f t="shared" si="28"/>
        <v>66</v>
      </c>
      <c r="BN161" s="53">
        <v>52</v>
      </c>
      <c r="BO161" s="53">
        <v>22</v>
      </c>
      <c r="BP161" s="53">
        <v>43</v>
      </c>
      <c r="BQ161" s="53">
        <v>24</v>
      </c>
      <c r="BR161" s="53">
        <v>7</v>
      </c>
      <c r="BS161" s="53">
        <f t="shared" si="29"/>
        <v>148</v>
      </c>
      <c r="BU161" s="53">
        <v>30</v>
      </c>
      <c r="BV161" s="53">
        <v>7</v>
      </c>
      <c r="BW161" s="53">
        <v>5</v>
      </c>
      <c r="BX161" s="53">
        <v>21</v>
      </c>
      <c r="BY161" s="53">
        <v>11</v>
      </c>
      <c r="BZ161" s="53">
        <f t="shared" si="30"/>
        <v>74</v>
      </c>
      <c r="CB161" s="71">
        <f t="shared" si="36"/>
        <v>3.3649377207659414</v>
      </c>
      <c r="CD161" s="53">
        <v>31</v>
      </c>
      <c r="CE161" s="53">
        <v>7</v>
      </c>
      <c r="CF161" s="53">
        <v>4</v>
      </c>
      <c r="CG161" s="53">
        <v>7</v>
      </c>
      <c r="CH161" s="53">
        <v>6</v>
      </c>
      <c r="CI161" s="53">
        <f t="shared" si="31"/>
        <v>55</v>
      </c>
      <c r="CK161" s="66">
        <f t="shared" si="37"/>
        <v>2.0765402436931524</v>
      </c>
      <c r="CL161" s="66"/>
      <c r="CM161" s="66"/>
      <c r="CP161" s="53">
        <v>5</v>
      </c>
      <c r="CQ161" s="53">
        <v>4</v>
      </c>
      <c r="CR161" s="53">
        <v>5</v>
      </c>
      <c r="CS161" s="53">
        <v>2</v>
      </c>
      <c r="CT161" s="53">
        <v>9</v>
      </c>
      <c r="CY161" s="53">
        <v>13</v>
      </c>
      <c r="DA161" s="53">
        <v>5</v>
      </c>
      <c r="DC161" s="53">
        <v>3</v>
      </c>
      <c r="DH161" s="53">
        <v>4</v>
      </c>
      <c r="DI161" s="53">
        <v>8</v>
      </c>
      <c r="DJ161" s="53">
        <v>2</v>
      </c>
      <c r="DK161" s="53">
        <v>2</v>
      </c>
      <c r="DL161" s="53">
        <v>3</v>
      </c>
      <c r="DQ161" s="53">
        <v>28</v>
      </c>
      <c r="DR161" s="53">
        <v>18</v>
      </c>
      <c r="DS161" s="53">
        <v>25</v>
      </c>
      <c r="DT161" s="53">
        <v>4</v>
      </c>
      <c r="DU161" s="53">
        <v>6</v>
      </c>
      <c r="DV161" s="66"/>
      <c r="EA161" s="53">
        <v>50</v>
      </c>
      <c r="EB161" s="53">
        <v>33</v>
      </c>
      <c r="EC161" s="53">
        <v>38</v>
      </c>
      <c r="ED161" s="53">
        <v>41</v>
      </c>
      <c r="EE161" s="53">
        <v>21</v>
      </c>
    </row>
    <row r="162" spans="3:134" ht="12.75">
      <c r="C162" s="53" t="s">
        <v>250</v>
      </c>
      <c r="D162" s="53" t="s">
        <v>139</v>
      </c>
      <c r="E162" s="53">
        <v>5</v>
      </c>
      <c r="K162" s="53">
        <f t="shared" si="42"/>
        <v>0</v>
      </c>
      <c r="M162" s="53">
        <v>1</v>
      </c>
      <c r="R162" s="53">
        <f t="shared" si="39"/>
        <v>1</v>
      </c>
      <c r="U162" s="53">
        <v>1</v>
      </c>
      <c r="V162" s="53">
        <v>1</v>
      </c>
      <c r="W162" s="53">
        <v>3</v>
      </c>
      <c r="X162" s="53">
        <v>4</v>
      </c>
      <c r="Y162" s="53">
        <f t="shared" si="38"/>
        <v>9</v>
      </c>
      <c r="AB162" s="53">
        <v>2</v>
      </c>
      <c r="AE162" s="53">
        <v>1</v>
      </c>
      <c r="AF162" s="53">
        <f t="shared" si="40"/>
        <v>3</v>
      </c>
      <c r="AH162" s="71">
        <f t="shared" si="41"/>
        <v>0.10136452241715399</v>
      </c>
      <c r="AI162" s="66"/>
      <c r="AJ162" s="66"/>
      <c r="AQ162" s="53">
        <f t="shared" si="26"/>
        <v>0</v>
      </c>
      <c r="AX162" s="53">
        <f t="shared" si="27"/>
        <v>0</v>
      </c>
      <c r="BB162" s="53">
        <v>3</v>
      </c>
      <c r="BC162" s="53">
        <v>1</v>
      </c>
      <c r="BE162" s="53">
        <v>1</v>
      </c>
      <c r="BF162" s="53">
        <v>1</v>
      </c>
      <c r="BG162" s="53">
        <f t="shared" si="28"/>
        <v>6</v>
      </c>
      <c r="BP162" s="53">
        <v>1</v>
      </c>
      <c r="BS162" s="53">
        <f t="shared" si="29"/>
        <v>1</v>
      </c>
      <c r="BU162" s="53">
        <v>1</v>
      </c>
      <c r="BZ162" s="53">
        <f t="shared" si="30"/>
        <v>1</v>
      </c>
      <c r="CB162" s="71">
        <f t="shared" si="36"/>
        <v>0.018590816136828406</v>
      </c>
      <c r="CD162" s="53">
        <v>3</v>
      </c>
      <c r="CG162" s="53">
        <v>1</v>
      </c>
      <c r="CH162" s="53">
        <v>2</v>
      </c>
      <c r="CI162" s="53">
        <f t="shared" si="31"/>
        <v>6</v>
      </c>
      <c r="CK162" s="66">
        <f t="shared" si="37"/>
        <v>0.20593787540758537</v>
      </c>
      <c r="CL162" s="66"/>
      <c r="CM162" s="66"/>
      <c r="CR162" s="53">
        <v>1</v>
      </c>
      <c r="CZ162" s="53">
        <v>1</v>
      </c>
      <c r="DR162" s="53">
        <v>2</v>
      </c>
      <c r="DU162" s="53">
        <v>1</v>
      </c>
      <c r="DV162" s="66"/>
      <c r="EC162" s="53">
        <v>1</v>
      </c>
      <c r="ED162" s="53">
        <v>2</v>
      </c>
    </row>
    <row r="163" spans="4:135" ht="12.75">
      <c r="D163" s="53" t="s">
        <v>283</v>
      </c>
      <c r="E163" s="53">
        <v>5</v>
      </c>
      <c r="K163" s="53">
        <f t="shared" si="42"/>
        <v>0</v>
      </c>
      <c r="R163" s="53">
        <f t="shared" si="39"/>
        <v>0</v>
      </c>
      <c r="Y163" s="53">
        <f t="shared" si="38"/>
        <v>0</v>
      </c>
      <c r="AF163" s="53">
        <f t="shared" si="40"/>
        <v>0</v>
      </c>
      <c r="AH163" s="71">
        <f t="shared" si="41"/>
        <v>0</v>
      </c>
      <c r="AI163" s="66"/>
      <c r="AJ163" s="66"/>
      <c r="AL163" s="53">
        <v>2</v>
      </c>
      <c r="AM163" s="53">
        <v>7</v>
      </c>
      <c r="AO163" s="53">
        <v>2</v>
      </c>
      <c r="AQ163" s="53">
        <f t="shared" si="26"/>
        <v>11</v>
      </c>
      <c r="AS163" s="53">
        <v>1</v>
      </c>
      <c r="AT163" s="53">
        <v>1</v>
      </c>
      <c r="AU163" s="53">
        <v>1</v>
      </c>
      <c r="AX163" s="53">
        <f t="shared" si="27"/>
        <v>3</v>
      </c>
      <c r="BC163" s="53">
        <v>1</v>
      </c>
      <c r="BD163" s="53">
        <v>2</v>
      </c>
      <c r="BE163" s="53">
        <v>1</v>
      </c>
      <c r="BF163" s="53">
        <v>14</v>
      </c>
      <c r="BG163" s="53">
        <f t="shared" si="28"/>
        <v>18</v>
      </c>
      <c r="BN163" s="53">
        <v>6</v>
      </c>
      <c r="BO163" s="53">
        <v>2</v>
      </c>
      <c r="BQ163" s="53">
        <v>2</v>
      </c>
      <c r="BS163" s="53">
        <f t="shared" si="29"/>
        <v>10</v>
      </c>
      <c r="BV163" s="53">
        <v>1</v>
      </c>
      <c r="BW163" s="53">
        <v>1</v>
      </c>
      <c r="BX163" s="53">
        <v>1</v>
      </c>
      <c r="BY163" s="53">
        <v>5</v>
      </c>
      <c r="BZ163" s="53">
        <f t="shared" si="30"/>
        <v>8</v>
      </c>
      <c r="CB163" s="71">
        <f t="shared" si="36"/>
        <v>0.2974530581892545</v>
      </c>
      <c r="CD163" s="53">
        <v>1</v>
      </c>
      <c r="CE163" s="53">
        <v>1</v>
      </c>
      <c r="CH163" s="53">
        <v>2</v>
      </c>
      <c r="CI163" s="53">
        <f t="shared" si="31"/>
        <v>4</v>
      </c>
      <c r="CK163" s="66">
        <f t="shared" si="37"/>
        <v>0.3775527715805732</v>
      </c>
      <c r="CL163" s="66"/>
      <c r="CM163" s="66"/>
      <c r="CP163" s="53">
        <v>1</v>
      </c>
      <c r="CQ163" s="53">
        <v>5</v>
      </c>
      <c r="CR163" s="53">
        <v>1</v>
      </c>
      <c r="CS163" s="53">
        <v>10</v>
      </c>
      <c r="CT163" s="53">
        <v>13</v>
      </c>
      <c r="CY163" s="53">
        <v>3</v>
      </c>
      <c r="CZ163" s="53">
        <v>1</v>
      </c>
      <c r="DI163" s="53">
        <v>2</v>
      </c>
      <c r="DJ163" s="53">
        <v>2</v>
      </c>
      <c r="DK163" s="53">
        <v>1</v>
      </c>
      <c r="DQ163" s="53">
        <v>2</v>
      </c>
      <c r="DS163" s="53">
        <v>3</v>
      </c>
      <c r="DT163" s="53">
        <v>2</v>
      </c>
      <c r="DU163" s="53">
        <v>2</v>
      </c>
      <c r="DV163" s="66"/>
      <c r="EA163" s="53">
        <v>2</v>
      </c>
      <c r="EB163" s="53">
        <v>3</v>
      </c>
      <c r="EC163" s="53">
        <v>5</v>
      </c>
      <c r="ED163" s="53">
        <v>7</v>
      </c>
      <c r="EE163" s="53">
        <v>2</v>
      </c>
    </row>
    <row r="164" spans="3:126" ht="12.75">
      <c r="C164" s="53" t="s">
        <v>495</v>
      </c>
      <c r="D164" s="53" t="s">
        <v>496</v>
      </c>
      <c r="E164" s="53">
        <v>5</v>
      </c>
      <c r="K164" s="53">
        <f t="shared" si="42"/>
        <v>0</v>
      </c>
      <c r="R164" s="53">
        <f t="shared" si="39"/>
        <v>0</v>
      </c>
      <c r="Y164" s="53">
        <f t="shared" si="38"/>
        <v>0</v>
      </c>
      <c r="AF164" s="53">
        <f t="shared" si="40"/>
        <v>0</v>
      </c>
      <c r="AH164" s="71">
        <f t="shared" si="41"/>
        <v>0</v>
      </c>
      <c r="AI164" s="66"/>
      <c r="AJ164" s="66"/>
      <c r="CB164" s="71"/>
      <c r="CK164" s="66"/>
      <c r="CL164" s="66"/>
      <c r="CM164" s="66"/>
      <c r="DV164" s="66"/>
    </row>
    <row r="165" spans="2:135" ht="12.75">
      <c r="B165" s="53" t="s">
        <v>451</v>
      </c>
      <c r="C165" s="53" t="s">
        <v>452</v>
      </c>
      <c r="D165" s="53" t="s">
        <v>453</v>
      </c>
      <c r="E165" s="53">
        <v>5</v>
      </c>
      <c r="K165" s="53">
        <f t="shared" si="42"/>
        <v>0</v>
      </c>
      <c r="R165" s="53">
        <f t="shared" si="39"/>
        <v>0</v>
      </c>
      <c r="Y165" s="53">
        <f t="shared" si="38"/>
        <v>0</v>
      </c>
      <c r="AF165" s="53">
        <f t="shared" si="40"/>
        <v>0</v>
      </c>
      <c r="AH165" s="71">
        <f t="shared" si="41"/>
        <v>0</v>
      </c>
      <c r="AI165" s="66"/>
      <c r="AJ165" s="66"/>
      <c r="CB165" s="71"/>
      <c r="CK165" s="66"/>
      <c r="CL165" s="66"/>
      <c r="CM165" s="66"/>
      <c r="CP165" s="53">
        <v>1</v>
      </c>
      <c r="DV165" s="66"/>
      <c r="EE165" s="53">
        <v>1</v>
      </c>
    </row>
    <row r="166" spans="2:126" ht="12.75">
      <c r="B166" s="53" t="s">
        <v>499</v>
      </c>
      <c r="C166" s="53" t="s">
        <v>498</v>
      </c>
      <c r="D166" s="53" t="s">
        <v>500</v>
      </c>
      <c r="E166" s="53">
        <v>5</v>
      </c>
      <c r="K166" s="53">
        <f t="shared" si="42"/>
        <v>0</v>
      </c>
      <c r="R166" s="53">
        <f t="shared" si="39"/>
        <v>0</v>
      </c>
      <c r="Y166" s="53">
        <f t="shared" si="38"/>
        <v>0</v>
      </c>
      <c r="AF166" s="53">
        <f t="shared" si="40"/>
        <v>0</v>
      </c>
      <c r="AH166" s="71">
        <f t="shared" si="41"/>
        <v>0</v>
      </c>
      <c r="AI166" s="66"/>
      <c r="AJ166" s="66"/>
      <c r="CB166" s="71"/>
      <c r="CK166" s="66"/>
      <c r="CL166" s="66"/>
      <c r="CM166" s="66"/>
      <c r="DV166" s="66"/>
    </row>
    <row r="167" spans="2:126" ht="12.75">
      <c r="B167" s="53" t="s">
        <v>185</v>
      </c>
      <c r="C167" s="53" t="s">
        <v>186</v>
      </c>
      <c r="D167" s="53" t="s">
        <v>187</v>
      </c>
      <c r="E167" s="53">
        <v>5</v>
      </c>
      <c r="K167" s="53">
        <f t="shared" si="42"/>
        <v>0</v>
      </c>
      <c r="R167" s="53">
        <f t="shared" si="39"/>
        <v>0</v>
      </c>
      <c r="T167" s="53">
        <v>1</v>
      </c>
      <c r="Y167" s="53">
        <f t="shared" si="38"/>
        <v>1</v>
      </c>
      <c r="AF167" s="53">
        <f t="shared" si="40"/>
        <v>0</v>
      </c>
      <c r="AH167" s="71">
        <f t="shared" si="41"/>
        <v>0.007797270955165692</v>
      </c>
      <c r="AI167" s="66"/>
      <c r="AJ167" s="66"/>
      <c r="AQ167" s="53">
        <f t="shared" si="26"/>
        <v>0</v>
      </c>
      <c r="AX167" s="53">
        <f t="shared" si="27"/>
        <v>0</v>
      </c>
      <c r="BG167" s="53">
        <f t="shared" si="28"/>
        <v>0</v>
      </c>
      <c r="BS167" s="53">
        <f t="shared" si="29"/>
        <v>0</v>
      </c>
      <c r="BZ167" s="53">
        <f t="shared" si="30"/>
        <v>0</v>
      </c>
      <c r="CB167" s="71">
        <f>100*SUM($AL167:$AP167,$AS167:$AW167,$BN167:$BR167,$BU167:$BY167)/SUM($AQ$169,$AX$169,$BS$169,$BZ$169)</f>
        <v>0</v>
      </c>
      <c r="CH167" s="53">
        <v>1</v>
      </c>
      <c r="CI167" s="53">
        <f t="shared" si="31"/>
        <v>1</v>
      </c>
      <c r="CK167" s="66">
        <f>100*(BG167+CI167)/($BG$169+$CI$169)</f>
        <v>0.01716148961729878</v>
      </c>
      <c r="CL167" s="66"/>
      <c r="CM167" s="66"/>
      <c r="DV167" s="66"/>
    </row>
    <row r="168" spans="3:126" ht="12.75">
      <c r="C168" s="53" t="s">
        <v>74</v>
      </c>
      <c r="D168" s="53" t="s">
        <v>132</v>
      </c>
      <c r="E168" s="53">
        <v>5</v>
      </c>
      <c r="I168" s="53">
        <v>1</v>
      </c>
      <c r="K168" s="53">
        <f t="shared" si="42"/>
        <v>1</v>
      </c>
      <c r="R168" s="53">
        <f t="shared" si="39"/>
        <v>0</v>
      </c>
      <c r="Y168" s="53">
        <f>SUM(T168:X168)</f>
        <v>0</v>
      </c>
      <c r="AF168" s="53">
        <f t="shared" si="40"/>
        <v>0</v>
      </c>
      <c r="AH168" s="71">
        <f t="shared" si="41"/>
        <v>0.007797270955165692</v>
      </c>
      <c r="AJ168" s="66"/>
      <c r="AM168" s="53">
        <v>1</v>
      </c>
      <c r="AQ168" s="53">
        <f t="shared" si="26"/>
        <v>1</v>
      </c>
      <c r="AS168" s="53">
        <v>1</v>
      </c>
      <c r="AX168" s="53">
        <f t="shared" si="27"/>
        <v>1</v>
      </c>
      <c r="BF168" s="53">
        <v>1</v>
      </c>
      <c r="BG168" s="53">
        <f t="shared" si="28"/>
        <v>1</v>
      </c>
      <c r="BS168" s="53">
        <f t="shared" si="29"/>
        <v>0</v>
      </c>
      <c r="BZ168" s="53">
        <f t="shared" si="30"/>
        <v>0</v>
      </c>
      <c r="CB168" s="71">
        <f>100*SUM($AL168:$AP168,$AS168:$AW168,$BN168:$BR168,$BU168:$BY168)/SUM($AQ$169,$AX$169,$BS$169,$BZ$169)</f>
        <v>0.018590816136828406</v>
      </c>
      <c r="CI168" s="53">
        <f t="shared" si="31"/>
        <v>0</v>
      </c>
      <c r="CK168" s="66">
        <f>100*(BG168+CI168)/($BG$169+$CI$169)</f>
        <v>0.01716148961729878</v>
      </c>
      <c r="CL168" s="66"/>
      <c r="CM168" s="66"/>
      <c r="DV168" s="66"/>
    </row>
    <row r="169" spans="6:91" ht="12.75">
      <c r="F169" s="53" t="s">
        <v>54</v>
      </c>
      <c r="G169" s="53" t="s">
        <v>55</v>
      </c>
      <c r="H169" s="53" t="s">
        <v>56</v>
      </c>
      <c r="I169" s="53" t="s">
        <v>57</v>
      </c>
      <c r="J169" s="53" t="s">
        <v>58</v>
      </c>
      <c r="K169" s="55">
        <f>SUM(K13:K168)</f>
        <v>4356</v>
      </c>
      <c r="M169" s="53" t="s">
        <v>59</v>
      </c>
      <c r="N169" s="53" t="s">
        <v>60</v>
      </c>
      <c r="O169" s="53" t="s">
        <v>61</v>
      </c>
      <c r="P169" s="53" t="s">
        <v>62</v>
      </c>
      <c r="Q169" s="53" t="s">
        <v>63</v>
      </c>
      <c r="R169" s="55">
        <f>SUM(R13:R168)</f>
        <v>2658</v>
      </c>
      <c r="T169" s="53" t="s">
        <v>54</v>
      </c>
      <c r="U169" s="53" t="s">
        <v>55</v>
      </c>
      <c r="V169" s="53" t="s">
        <v>56</v>
      </c>
      <c r="W169" s="53" t="s">
        <v>57</v>
      </c>
      <c r="X169" s="53" t="s">
        <v>58</v>
      </c>
      <c r="Y169" s="55">
        <f>SUM(Y13:Y168)</f>
        <v>3306</v>
      </c>
      <c r="AA169" s="53" t="s">
        <v>59</v>
      </c>
      <c r="AB169" s="53" t="s">
        <v>60</v>
      </c>
      <c r="AC169" s="53" t="s">
        <v>61</v>
      </c>
      <c r="AD169" s="53" t="s">
        <v>62</v>
      </c>
      <c r="AE169" s="53" t="s">
        <v>63</v>
      </c>
      <c r="AF169" s="55">
        <f>SUM(AF13:AF168)</f>
        <v>2505</v>
      </c>
      <c r="AH169" s="72">
        <f>SUM(AH13:AH168)</f>
        <v>100.00000000000006</v>
      </c>
      <c r="AQ169" s="55">
        <f>SUM(AQ13:AQ168)</f>
        <v>2203</v>
      </c>
      <c r="AX169" s="55">
        <f>SUM(AX13:AX168)</f>
        <v>2598</v>
      </c>
      <c r="BG169" s="55">
        <f>SUM(BG13:BG168)</f>
        <v>2791</v>
      </c>
      <c r="BS169" s="55">
        <f>SUM(BS13:BS168)</f>
        <v>3027</v>
      </c>
      <c r="BZ169" s="55">
        <f>SUM(BZ13:BZ168)</f>
        <v>2930</v>
      </c>
      <c r="CB169" s="72">
        <f>SUM(CB13:CB168)</f>
        <v>99.9999999999999</v>
      </c>
      <c r="CI169" s="55">
        <f>SUM(CI13:CI168)</f>
        <v>3036</v>
      </c>
      <c r="CK169" s="66">
        <f>SUM(CK13:CK168)</f>
        <v>99.99999999999996</v>
      </c>
      <c r="CL169" s="66"/>
      <c r="CM169" s="66"/>
    </row>
    <row r="170" spans="11:117" ht="12.75">
      <c r="K170" s="55"/>
      <c r="L170" s="73" t="s">
        <v>267</v>
      </c>
      <c r="R170" s="55"/>
      <c r="S170" s="73" t="s">
        <v>267</v>
      </c>
      <c r="Y170" s="55"/>
      <c r="Z170" s="73" t="s">
        <v>267</v>
      </c>
      <c r="AF170" s="55"/>
      <c r="AG170" s="73" t="s">
        <v>267</v>
      </c>
      <c r="AH170" s="66"/>
      <c r="AI170" s="73" t="s">
        <v>368</v>
      </c>
      <c r="AQ170" s="55"/>
      <c r="AR170" s="73" t="s">
        <v>267</v>
      </c>
      <c r="AX170" s="55"/>
      <c r="AY170" s="73" t="s">
        <v>267</v>
      </c>
      <c r="BG170" s="55"/>
      <c r="BH170" s="73" t="s">
        <v>267</v>
      </c>
      <c r="CC170" s="67" t="s">
        <v>368</v>
      </c>
      <c r="CK170" s="66"/>
      <c r="CL170" s="66"/>
      <c r="CM170" s="66"/>
      <c r="CN170" s="73" t="s">
        <v>267</v>
      </c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</row>
    <row r="171" spans="11:117" ht="12.75">
      <c r="K171" s="55"/>
      <c r="L171" s="74">
        <f>COUNTIF(K13:K168,"&gt;0")</f>
        <v>55</v>
      </c>
      <c r="R171" s="55"/>
      <c r="S171" s="74">
        <f>COUNTIF(R13:R168,"&gt;0")</f>
        <v>42</v>
      </c>
      <c r="Y171" s="55"/>
      <c r="Z171" s="74">
        <f>COUNTIF(Y13:Y168,"&gt;0")</f>
        <v>61</v>
      </c>
      <c r="AF171" s="55"/>
      <c r="AG171" s="74">
        <f>COUNTIF(AF13:AF168,"&gt;0")</f>
        <v>61</v>
      </c>
      <c r="AH171" s="66"/>
      <c r="AI171" s="74">
        <f>COUNTIF(AH13:AH168,"&gt;0")</f>
        <v>88</v>
      </c>
      <c r="AQ171" s="55"/>
      <c r="AR171" s="74">
        <f>COUNTIF(AQ13:AQ168,"&gt;0")</f>
        <v>61</v>
      </c>
      <c r="AX171" s="55"/>
      <c r="AY171" s="74">
        <f>COUNTIF(AX13:AX168,"&gt;0")</f>
        <v>69</v>
      </c>
      <c r="BG171" s="55"/>
      <c r="BH171" s="74">
        <f>COUNTIF(BG13:BG168,"&gt;0")</f>
        <v>68</v>
      </c>
      <c r="CB171" s="75"/>
      <c r="CC171" s="74">
        <f>COUNTIF(CB13:CB168,"&gt;0")</f>
        <v>99</v>
      </c>
      <c r="CK171" s="66"/>
      <c r="CL171" s="66"/>
      <c r="CM171" s="66"/>
      <c r="CN171" s="74">
        <f>COUNTIF(CK13:CK168,"&gt;0")</f>
        <v>79</v>
      </c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56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</row>
    <row r="172" spans="2:137" ht="12.75">
      <c r="B172" s="54"/>
      <c r="D172" s="53" t="s">
        <v>100</v>
      </c>
      <c r="F172" s="53">
        <f>SUM(F13:F168)</f>
        <v>951</v>
      </c>
      <c r="G172" s="53">
        <f>SUM(G13:G168)</f>
        <v>290</v>
      </c>
      <c r="H172" s="53">
        <f>SUM(H13:H168)</f>
        <v>1490</v>
      </c>
      <c r="I172" s="53">
        <f>SUM(I13:I168)</f>
        <v>1180</v>
      </c>
      <c r="J172" s="53">
        <f>SUM(J13:J168)</f>
        <v>445</v>
      </c>
      <c r="K172" s="55"/>
      <c r="L172" s="102" t="s">
        <v>552</v>
      </c>
      <c r="M172" s="53">
        <f>SUM(M13:M168)</f>
        <v>639</v>
      </c>
      <c r="N172" s="53">
        <f>SUM(N13:N168)</f>
        <v>367</v>
      </c>
      <c r="O172" s="53">
        <f>SUM(O13:O168)</f>
        <v>527</v>
      </c>
      <c r="P172" s="53">
        <f>SUM(P13:P168)</f>
        <v>666</v>
      </c>
      <c r="Q172" s="53">
        <f>SUM(Q13:Q168)</f>
        <v>459</v>
      </c>
      <c r="R172" s="55"/>
      <c r="S172" s="102" t="s">
        <v>552</v>
      </c>
      <c r="T172" s="53">
        <f>SUM(T13:T168)</f>
        <v>441</v>
      </c>
      <c r="U172" s="53">
        <f>SUM(U13:U168)</f>
        <v>557</v>
      </c>
      <c r="V172" s="53">
        <f>SUM(V13:V168)</f>
        <v>783</v>
      </c>
      <c r="W172" s="53">
        <f>SUM(W13:W168)</f>
        <v>857</v>
      </c>
      <c r="X172" s="53">
        <f>SUM(X13:X168)</f>
        <v>668</v>
      </c>
      <c r="Y172" s="55"/>
      <c r="Z172" s="102" t="s">
        <v>552</v>
      </c>
      <c r="AA172" s="53">
        <f>SUM(AA13:AA168)</f>
        <v>808</v>
      </c>
      <c r="AB172" s="53">
        <f>SUM(AB13:AB168)</f>
        <v>334</v>
      </c>
      <c r="AC172" s="53">
        <f>SUM(AC13:AC168)</f>
        <v>406</v>
      </c>
      <c r="AD172" s="53">
        <f>SUM(AD13:AD168)</f>
        <v>589</v>
      </c>
      <c r="AE172" s="53">
        <f>SUM(AE13:AE168)</f>
        <v>368</v>
      </c>
      <c r="AF172" s="55"/>
      <c r="AG172" s="102" t="s">
        <v>552</v>
      </c>
      <c r="AL172" s="53">
        <f>SUM(AL13:AL168)</f>
        <v>688</v>
      </c>
      <c r="AM172" s="53">
        <f>SUM(AM13:AM168)</f>
        <v>498</v>
      </c>
      <c r="AN172" s="53">
        <f>SUM(AN13:AN168)</f>
        <v>472</v>
      </c>
      <c r="AO172" s="53">
        <f>SUM(AO13:AO168)</f>
        <v>297</v>
      </c>
      <c r="AP172" s="53">
        <f>SUM(AP13:AP168)</f>
        <v>248</v>
      </c>
      <c r="AQ172" s="55"/>
      <c r="AR172" s="102" t="s">
        <v>552</v>
      </c>
      <c r="AS172" s="53">
        <f>SUM(AS13:AS168)</f>
        <v>589</v>
      </c>
      <c r="AT172" s="53">
        <f>SUM(AT13:AT168)</f>
        <v>494</v>
      </c>
      <c r="AU172" s="53">
        <f>SUM(AU13:AU168)</f>
        <v>707</v>
      </c>
      <c r="AV172" s="53">
        <f>SUM(AV13:AV168)</f>
        <v>528</v>
      </c>
      <c r="AW172" s="53">
        <f>SUM(AW13:AW168)</f>
        <v>280</v>
      </c>
      <c r="AX172" s="55"/>
      <c r="AY172" s="102" t="s">
        <v>552</v>
      </c>
      <c r="BB172" s="53">
        <f>SUM(BB13:BB168)</f>
        <v>649</v>
      </c>
      <c r="BC172" s="53">
        <f>SUM(BC13:BC168)</f>
        <v>580</v>
      </c>
      <c r="BD172" s="53">
        <f>SUM(BD13:BD168)</f>
        <v>538</v>
      </c>
      <c r="BE172" s="53">
        <f>SUM(BE13:BE168)</f>
        <v>468</v>
      </c>
      <c r="BF172" s="53">
        <f>SUM(BF13:BF168)</f>
        <v>556</v>
      </c>
      <c r="BG172" s="55"/>
      <c r="BH172" s="102" t="s">
        <v>552</v>
      </c>
      <c r="BN172" s="53">
        <f>SUM(BN13:BN168)</f>
        <v>1118</v>
      </c>
      <c r="BO172" s="53">
        <f>SUM(BO13:BO168)</f>
        <v>449</v>
      </c>
      <c r="BP172" s="53">
        <f>SUM(BP13:BP168)</f>
        <v>698</v>
      </c>
      <c r="BQ172" s="53">
        <f>SUM(BQ13:BQ168)</f>
        <v>447</v>
      </c>
      <c r="BR172" s="53">
        <f>SUM(BR13:BR168)</f>
        <v>315</v>
      </c>
      <c r="BS172" s="55"/>
      <c r="BT172" s="102" t="s">
        <v>552</v>
      </c>
      <c r="BU172" s="53">
        <f>SUM(BU13:BU168)</f>
        <v>914</v>
      </c>
      <c r="BV172" s="53">
        <f>SUM(BV13:BV168)</f>
        <v>514</v>
      </c>
      <c r="BW172" s="53">
        <f>SUM(BW13:BW168)</f>
        <v>581</v>
      </c>
      <c r="BX172" s="53">
        <f>SUM(BX13:BX168)</f>
        <v>399</v>
      </c>
      <c r="BY172" s="53">
        <f>SUM(BY13:BY168)</f>
        <v>522</v>
      </c>
      <c r="BZ172" s="55"/>
      <c r="CA172" s="102" t="s">
        <v>552</v>
      </c>
      <c r="CD172" s="53">
        <f>SUM(CD13:CD168)</f>
        <v>1442</v>
      </c>
      <c r="CE172" s="53">
        <f>SUM(CE13:CE168)</f>
        <v>378</v>
      </c>
      <c r="CF172" s="53">
        <f>SUM(CF13:CF168)</f>
        <v>572</v>
      </c>
      <c r="CG172" s="53">
        <f>SUM(CG13:CG168)</f>
        <v>326</v>
      </c>
      <c r="CH172" s="53">
        <f>SUM(CH13:CH168)</f>
        <v>318</v>
      </c>
      <c r="CI172" s="55"/>
      <c r="CJ172" s="102" t="s">
        <v>552</v>
      </c>
      <c r="CP172" s="53">
        <f>SUM(CP13:CP168)</f>
        <v>554</v>
      </c>
      <c r="CQ172" s="53">
        <f>SUM(CQ13:CQ168)</f>
        <v>656</v>
      </c>
      <c r="CR172" s="53">
        <f>SUM(CR13:CR168)</f>
        <v>654</v>
      </c>
      <c r="CS172" s="53">
        <f>SUM(CS13:CS168)</f>
        <v>610</v>
      </c>
      <c r="CT172" s="53">
        <f>SUM(CT13:CT168)</f>
        <v>774</v>
      </c>
      <c r="CU172" s="55"/>
      <c r="CV172" s="102" t="s">
        <v>552</v>
      </c>
      <c r="CY172" s="53">
        <f>SUM(CY13:CY168)</f>
        <v>1141</v>
      </c>
      <c r="CZ172" s="53">
        <f>SUM(CZ13:CZ168)</f>
        <v>526</v>
      </c>
      <c r="DA172" s="53">
        <f>SUM(DA13:DA168)</f>
        <v>552</v>
      </c>
      <c r="DB172" s="53">
        <f>SUM(DB13:DB168)</f>
        <v>577</v>
      </c>
      <c r="DC172" s="53">
        <f>SUM(DC13:DC168)</f>
        <v>646</v>
      </c>
      <c r="DD172" s="55"/>
      <c r="DE172" s="102" t="s">
        <v>552</v>
      </c>
      <c r="DH172" s="53">
        <f>SUM(DH13:DH168)</f>
        <v>567</v>
      </c>
      <c r="DI172" s="53">
        <f>SUM(DI13:DI168)</f>
        <v>567</v>
      </c>
      <c r="DJ172" s="53">
        <f>SUM(DJ13:DJ168)</f>
        <v>580</v>
      </c>
      <c r="DK172" s="53">
        <f>SUM(DK13:DK168)</f>
        <v>567</v>
      </c>
      <c r="DL172" s="53">
        <f>SUM(DL13:DL168)</f>
        <v>620</v>
      </c>
      <c r="DM172" s="55"/>
      <c r="DN172" s="102" t="s">
        <v>552</v>
      </c>
      <c r="DQ172" s="53">
        <f>SUM(DQ13:DQ168)</f>
        <v>568</v>
      </c>
      <c r="DR172" s="53">
        <f>SUM(DR13:DR168)</f>
        <v>571</v>
      </c>
      <c r="DS172" s="53">
        <f>SUM(DS13:DS168)</f>
        <v>607</v>
      </c>
      <c r="DT172" s="53">
        <f>SUM(DT13:DT168)</f>
        <v>538</v>
      </c>
      <c r="DU172" s="53">
        <f>SUM(DU13:DU168)</f>
        <v>549</v>
      </c>
      <c r="DV172" s="55"/>
      <c r="DW172" s="102" t="s">
        <v>552</v>
      </c>
      <c r="EA172" s="53">
        <f>SUM(EA13:EA168)</f>
        <v>528</v>
      </c>
      <c r="EB172" s="53">
        <f>SUM(EB13:EB168)</f>
        <v>536</v>
      </c>
      <c r="EC172" s="53">
        <f>SUM(EC13:EC168)</f>
        <v>532</v>
      </c>
      <c r="ED172" s="53">
        <f>SUM(ED13:ED168)</f>
        <v>533</v>
      </c>
      <c r="EE172" s="53">
        <f>SUM(EE13:EE168)</f>
        <v>564</v>
      </c>
      <c r="EF172" s="55"/>
      <c r="EG172" s="102" t="s">
        <v>552</v>
      </c>
    </row>
    <row r="173" spans="2:137" ht="12.75">
      <c r="B173" s="54"/>
      <c r="D173" s="53" t="s">
        <v>324</v>
      </c>
      <c r="F173" s="53">
        <f>COUNT(F13:F168)</f>
        <v>27</v>
      </c>
      <c r="G173" s="53">
        <f>COUNT(G13:G168)</f>
        <v>14</v>
      </c>
      <c r="H173" s="53">
        <f>COUNT(H13:H168)</f>
        <v>36</v>
      </c>
      <c r="I173" s="53">
        <f>COUNT(I13:I168)</f>
        <v>35</v>
      </c>
      <c r="J173" s="53">
        <f>COUNT(J13:J168)</f>
        <v>23</v>
      </c>
      <c r="K173" s="55">
        <f>AVERAGE(F173:J173)</f>
        <v>27</v>
      </c>
      <c r="L173" s="103">
        <f>STDEV(F173:J173)</f>
        <v>9.082951062292475</v>
      </c>
      <c r="M173" s="53">
        <f>COUNT(M13:M168)</f>
        <v>27</v>
      </c>
      <c r="N173" s="53">
        <f>COUNT(N13:N168)</f>
        <v>19</v>
      </c>
      <c r="O173" s="53">
        <f>COUNT(O13:O168)</f>
        <v>22</v>
      </c>
      <c r="P173" s="53">
        <f>COUNT(P13:P168)</f>
        <v>26</v>
      </c>
      <c r="Q173" s="53">
        <f>COUNT(Q13:Q168)</f>
        <v>28</v>
      </c>
      <c r="R173" s="55">
        <f>AVERAGE(M173:Q173)</f>
        <v>24.4</v>
      </c>
      <c r="S173" s="103">
        <f>STDEV(M173:Q173)</f>
        <v>3.7815340802378015</v>
      </c>
      <c r="T173" s="53">
        <f>COUNT(T13:T168)</f>
        <v>31</v>
      </c>
      <c r="U173" s="53">
        <f>COUNT(U13:U168)</f>
        <v>32</v>
      </c>
      <c r="V173" s="53">
        <f>COUNT(V13:V168)</f>
        <v>31</v>
      </c>
      <c r="W173" s="53">
        <f>COUNT(W13:W168)</f>
        <v>42</v>
      </c>
      <c r="X173" s="53">
        <f>COUNT(X13:X168)</f>
        <v>36</v>
      </c>
      <c r="Y173" s="55">
        <f>AVERAGE(T173:X173)</f>
        <v>34.4</v>
      </c>
      <c r="Z173" s="103">
        <f>STDEV(T173:X173)</f>
        <v>4.722287581247033</v>
      </c>
      <c r="AA173" s="53">
        <f>COUNT(AA13:AA168)</f>
        <v>42</v>
      </c>
      <c r="AB173" s="53">
        <f>COUNT(AB13:AB168)</f>
        <v>40</v>
      </c>
      <c r="AC173" s="53">
        <f>COUNT(AC13:AC168)</f>
        <v>40</v>
      </c>
      <c r="AD173" s="53">
        <f>COUNT(AD13:AD168)</f>
        <v>33</v>
      </c>
      <c r="AE173" s="53">
        <f>COUNT(AE13:AE168)</f>
        <v>31</v>
      </c>
      <c r="AF173" s="55">
        <f>AVERAGE(AA173:AE173)</f>
        <v>37.2</v>
      </c>
      <c r="AG173" s="103">
        <f>STDEV(AA173:AE173)</f>
        <v>4.868264577855239</v>
      </c>
      <c r="AH173" s="53" t="s">
        <v>326</v>
      </c>
      <c r="AL173" s="53">
        <f>COUNT(AL13:AL168)</f>
        <v>40</v>
      </c>
      <c r="AM173" s="53">
        <f>COUNT(AM13:AM168)</f>
        <v>46</v>
      </c>
      <c r="AN173" s="53">
        <f>COUNT(AN13:AN168)</f>
        <v>45</v>
      </c>
      <c r="AO173" s="53">
        <f>COUNT(AO13:AO168)</f>
        <v>33</v>
      </c>
      <c r="AP173" s="53">
        <f>COUNT(AP13:AP168)</f>
        <v>29</v>
      </c>
      <c r="AQ173" s="55">
        <f>AVERAGE(AL173:AP173)</f>
        <v>38.6</v>
      </c>
      <c r="AR173" s="103">
        <f>STDEV(AL173:AP173)</f>
        <v>7.436396977031279</v>
      </c>
      <c r="AS173" s="53">
        <f>COUNT(AS13:AS168)</f>
        <v>46</v>
      </c>
      <c r="AT173" s="53">
        <f>COUNT(AT13:AT168)</f>
        <v>43</v>
      </c>
      <c r="AU173" s="53">
        <f>COUNT(AU13:AU168)</f>
        <v>52</v>
      </c>
      <c r="AV173" s="53">
        <f>COUNT(AV13:AV168)</f>
        <v>36</v>
      </c>
      <c r="AW173" s="53">
        <f>COUNT(AW13:AW168)</f>
        <v>36</v>
      </c>
      <c r="AX173" s="55">
        <f>AVERAGE(AS173:AW173)</f>
        <v>42.6</v>
      </c>
      <c r="AY173" s="103">
        <f>STDEV(AS173:AW173)</f>
        <v>6.841052550594841</v>
      </c>
      <c r="BB173" s="53">
        <f>COUNT(BB13:BB168)</f>
        <v>37</v>
      </c>
      <c r="BC173" s="53">
        <f>COUNT(BC13:BC168)</f>
        <v>39</v>
      </c>
      <c r="BD173" s="53">
        <f>COUNT(BD13:BD168)</f>
        <v>35</v>
      </c>
      <c r="BE173" s="53">
        <f>COUNT(BE13:BE168)</f>
        <v>43</v>
      </c>
      <c r="BF173" s="53">
        <f>COUNT(BF13:BF168)</f>
        <v>49</v>
      </c>
      <c r="BG173" s="55">
        <f>AVERAGE(BB173:BF173)</f>
        <v>40.6</v>
      </c>
      <c r="BH173" s="103">
        <f>STDEV(BB173:BF173)</f>
        <v>5.549774770204659</v>
      </c>
      <c r="BN173" s="53">
        <f>COUNT(BN13:BN168)</f>
        <v>43</v>
      </c>
      <c r="BO173" s="53">
        <f>COUNT(BO13:BO168)</f>
        <v>35</v>
      </c>
      <c r="BP173" s="53">
        <f>COUNT(BP13:BP168)</f>
        <v>44</v>
      </c>
      <c r="BQ173" s="53">
        <f>COUNT(BQ13:BQ168)</f>
        <v>39</v>
      </c>
      <c r="BR173" s="53">
        <f>COUNT(BR13:BR168)</f>
        <v>35</v>
      </c>
      <c r="BS173" s="55">
        <f>AVERAGE(BN173:BR173)</f>
        <v>39.2</v>
      </c>
      <c r="BT173" s="103">
        <f>STDEV(BN173:BR173)</f>
        <v>4.266145801540314</v>
      </c>
      <c r="BU173" s="53">
        <f>COUNT(BU13:BU168)</f>
        <v>53</v>
      </c>
      <c r="BV173" s="53">
        <f>COUNT(BV13:BV168)</f>
        <v>42</v>
      </c>
      <c r="BW173" s="53">
        <f>COUNT(BW13:BW168)</f>
        <v>47</v>
      </c>
      <c r="BX173" s="53">
        <f>COUNT(BX13:BX168)</f>
        <v>48</v>
      </c>
      <c r="BY173" s="53">
        <f>COUNT(BY13:BY168)</f>
        <v>45</v>
      </c>
      <c r="BZ173" s="55">
        <f>AVERAGE(BU173:BY173)</f>
        <v>47</v>
      </c>
      <c r="CA173" s="103">
        <f>STDEV(BU173:BY173)</f>
        <v>4.06201920231798</v>
      </c>
      <c r="CB173" s="53" t="s">
        <v>327</v>
      </c>
      <c r="CD173" s="53">
        <f>COUNT(CD13:CD168)</f>
        <v>42</v>
      </c>
      <c r="CE173" s="53">
        <f>COUNT(CE13:CE168)</f>
        <v>33</v>
      </c>
      <c r="CF173" s="53">
        <f>COUNT(CF13:CF168)</f>
        <v>31</v>
      </c>
      <c r="CG173" s="53">
        <f>COUNT(CG13:CG168)</f>
        <v>24</v>
      </c>
      <c r="CH173" s="53">
        <f>COUNT(CH13:CH168)</f>
        <v>40</v>
      </c>
      <c r="CI173" s="55">
        <f>AVERAGE(CD173:CH173)</f>
        <v>34</v>
      </c>
      <c r="CJ173" s="103">
        <f>STDEV(CD173:CH173)</f>
        <v>7.245688373094719</v>
      </c>
      <c r="CP173" s="53">
        <f>COUNT(CP13:CP168)</f>
        <v>25</v>
      </c>
      <c r="CQ173" s="53">
        <f>COUNT(CQ13:CQ168)</f>
        <v>32</v>
      </c>
      <c r="CR173" s="53">
        <f>COUNT(CR13:CR168)</f>
        <v>36</v>
      </c>
      <c r="CS173" s="53">
        <f>COUNT(CS13:CS168)</f>
        <v>34</v>
      </c>
      <c r="CT173" s="53">
        <f>COUNT(CT13:CT168)</f>
        <v>36</v>
      </c>
      <c r="CU173" s="55">
        <f>AVERAGE(CP173:CT173)</f>
        <v>32.6</v>
      </c>
      <c r="CV173" s="103">
        <f>STDEV(CP173:CT173)</f>
        <v>4.560701700396547</v>
      </c>
      <c r="CY173" s="53">
        <f>COUNT(CY13:CY168)</f>
        <v>44</v>
      </c>
      <c r="CZ173" s="53">
        <f>COUNT(CZ13:CZ168)</f>
        <v>35</v>
      </c>
      <c r="DA173" s="53">
        <f>COUNT(DA13:DA168)</f>
        <v>34</v>
      </c>
      <c r="DB173" s="53">
        <f>COUNT(DB13:DB168)</f>
        <v>40</v>
      </c>
      <c r="DC173" s="53">
        <f>COUNT(DC13:DC168)</f>
        <v>38</v>
      </c>
      <c r="DD173" s="55">
        <f>AVERAGE(CY173:DC173)</f>
        <v>38.2</v>
      </c>
      <c r="DE173" s="103">
        <f>STDEV(CY173:DC173)</f>
        <v>4.0249223594996275</v>
      </c>
      <c r="DH173" s="53">
        <f>COUNT(DH13:DH168)</f>
        <v>32</v>
      </c>
      <c r="DI173" s="53">
        <f>COUNT(DI13:DI168)</f>
        <v>42</v>
      </c>
      <c r="DJ173" s="53">
        <f>COUNT(DJ13:DJ168)</f>
        <v>36</v>
      </c>
      <c r="DK173" s="53">
        <f>COUNT(DK13:DK168)</f>
        <v>37</v>
      </c>
      <c r="DL173" s="53">
        <f>COUNT(DL13:DL168)</f>
        <v>36</v>
      </c>
      <c r="DM173" s="55">
        <f>AVERAGE(DH173:DL173)</f>
        <v>36.6</v>
      </c>
      <c r="DN173" s="103">
        <f>STDEV(DH173:DL173)</f>
        <v>3.577708763999657</v>
      </c>
      <c r="DQ173" s="53">
        <f>COUNT(DQ13:DQ168)</f>
        <v>32</v>
      </c>
      <c r="DR173" s="53">
        <f>COUNT(DR13:DR168)</f>
        <v>32</v>
      </c>
      <c r="DS173" s="53">
        <f>COUNT(DS13:DS168)</f>
        <v>34</v>
      </c>
      <c r="DT173" s="53">
        <f>COUNT(DT13:DT168)</f>
        <v>32</v>
      </c>
      <c r="DU173" s="53">
        <f>COUNT(DU13:DU168)</f>
        <v>35</v>
      </c>
      <c r="DV173" s="55">
        <f>AVERAGE(DQ173:DU173)</f>
        <v>33</v>
      </c>
      <c r="DW173" s="103">
        <f>STDEV(DQ173:DU173)</f>
        <v>1.4142135623730951</v>
      </c>
      <c r="EA173" s="53">
        <f>COUNT(EA13:EA168)</f>
        <v>36</v>
      </c>
      <c r="EB173" s="53">
        <f>COUNT(EB13:EB168)</f>
        <v>43</v>
      </c>
      <c r="EC173" s="53">
        <f>COUNT(EC13:EC168)</f>
        <v>43</v>
      </c>
      <c r="ED173" s="53">
        <f>COUNT(ED13:ED168)</f>
        <v>33</v>
      </c>
      <c r="EE173" s="53">
        <f>COUNT(EE13:EE168)</f>
        <v>42</v>
      </c>
      <c r="EF173" s="55">
        <f>AVERAGE(EA173:EE173)</f>
        <v>39.4</v>
      </c>
      <c r="EG173" s="103">
        <f>STDEV(EA173:EE173)</f>
        <v>4.615192303685726</v>
      </c>
    </row>
    <row r="174" spans="2:137" ht="12.75">
      <c r="B174" s="54"/>
      <c r="K174" s="55"/>
      <c r="L174" s="103"/>
      <c r="R174" s="55"/>
      <c r="S174" s="103"/>
      <c r="Y174" s="55"/>
      <c r="Z174" s="103"/>
      <c r="AF174" s="55"/>
      <c r="AG174" s="103"/>
      <c r="AQ174" s="55"/>
      <c r="AR174" s="103"/>
      <c r="AX174" s="55"/>
      <c r="AY174" s="103"/>
      <c r="BH174" s="103"/>
      <c r="BT174" s="103"/>
      <c r="CA174" s="103"/>
      <c r="CB174" s="53" t="s">
        <v>400</v>
      </c>
      <c r="CJ174" s="103"/>
      <c r="CV174" s="103"/>
      <c r="DE174" s="103"/>
      <c r="DN174" s="103"/>
      <c r="DW174" s="103"/>
      <c r="EG174" s="103"/>
    </row>
    <row r="175" spans="2:137" ht="14.25">
      <c r="B175" s="54"/>
      <c r="D175" s="53" t="s">
        <v>101</v>
      </c>
      <c r="F175" s="64">
        <f>F172*IF(F7=0,"1",IF(F7=1,"2",IF(F7=2,"4",IF(F7=3,"8",IF(F7=4,"16")))))*IF(F6=3,"3.70",IF(F6=2,"5.56",IF(F6=1,"11.11")))</f>
        <v>3518.7000000000003</v>
      </c>
      <c r="G175" s="64">
        <f>G172*IF(G7=0,"1",IF(G7=1,"2",IF(G7=2,"4",IF(G7=3,"8",IF(G7=4,"16")))))*IF(G6=3,"3.70",IF(G6=2,"5.56",IF(G6=1,"11.11")))</f>
        <v>1073</v>
      </c>
      <c r="H175" s="64">
        <f>H172*IF(H7=0,"1",IF(H7=1,"2",IF(H7=2,"4",IF(H7=3,"8",IF(H7=4,"16")))))*IF(H6=3,"3.70",IF(H6=2,"5.56",IF(H6=1,"11.11")))</f>
        <v>5513</v>
      </c>
      <c r="I175" s="64">
        <f>I172*IF(I7=0,"1",IF(I7=1,"2",IF(I7=2,"4",IF(I7=3,"8",IF(I7=4,"16")))))*IF(I6=3,"3.70",IF(I6=2,"5.56",IF(I6=1,"11.11")))</f>
        <v>4366</v>
      </c>
      <c r="J175" s="64">
        <f>J172*IF(J7=0,"1",IF(J7=1,"2",IF(J7=2,"4",IF(J7=3,"8",IF(J7=4,"16")))))*IF(J6=3,"3.70",IF(J6=2,"5.56",IF(J6=1,"11.11")))</f>
        <v>13172</v>
      </c>
      <c r="K175" s="55">
        <f>AVERAGE(F175:J175)</f>
        <v>5528.54</v>
      </c>
      <c r="L175" s="103">
        <f>STDEV(F175:J175)</f>
        <v>4573.442768637211</v>
      </c>
      <c r="M175" s="64">
        <f>M172*IF(M7=0,"1",IF(M7=1,"2",IF(M7=2,"4",IF(M7=3,"8",IF(M7=4,"16")))))*IF(M6=3,"3.70",IF(M6=2,"5.56",IF(M6=1,"11.11")))</f>
        <v>18914.4</v>
      </c>
      <c r="N175" s="64">
        <f>N172*IF(N7=0,"1",IF(N7=1,"2",IF(N7=2,"4",IF(N7=3,"8",IF(N7=4,"16")))))*IF(N6=3,"3.70",IF(N6=2,"5.56",IF(N6=1,"11.11")))</f>
        <v>10863.2</v>
      </c>
      <c r="O175" s="64">
        <f>O172*IF(O7=0,"1",IF(O7=1,"2",IF(O7=2,"4",IF(O7=3,"8",IF(O7=4,"16")))))*IF(O6=3,"3.70",IF(O6=2,"5.56",IF(O6=1,"11.11")))</f>
        <v>15599.2</v>
      </c>
      <c r="P175" s="64">
        <f>P172*IF(P7=0,"1",IF(P7=1,"2",IF(P7=2,"4",IF(P7=3,"8",IF(P7=4,"16")))))*IF(P6=3,"3.70",IF(P6=2,"5.56",IF(P6=1,"11.11")))</f>
        <v>19713.600000000002</v>
      </c>
      <c r="Q175" s="64">
        <f>Q172*IF(Q7=0,"1",IF(Q7=1,"2",IF(Q7=2,"4",IF(Q7=3,"8",IF(Q7=4,"16")))))*IF(Q6=3,"3.70",IF(Q6=2,"5.56",IF(Q6=1,"11.11")))</f>
        <v>13586.400000000001</v>
      </c>
      <c r="R175" s="55">
        <f aca="true" t="shared" si="43" ref="R175:R185">AVERAGE(M175:Q175)</f>
        <v>15735.360000000004</v>
      </c>
      <c r="S175" s="103">
        <f>STDEV(M175:Q175)</f>
        <v>3684.67096604296</v>
      </c>
      <c r="T175" s="64">
        <f>T172*IF(T7=0,"1",IF(T7=1,"2",IF(T7=2,"4",IF(T7=3,"8",IF(T7=4,"16")))))*IF(T6=3,"3.70",IF(T6=2,"5.56",IF(T6=1,"11.11")))</f>
        <v>13053.6</v>
      </c>
      <c r="U175" s="64">
        <f>U172*IF(U7=0,"1",IF(U7=1,"2",IF(U7=2,"4",IF(U7=3,"8",IF(U7=4,"16")))))*IF(U6=3,"3.70",IF(U6=2,"5.56",IF(U6=1,"11.11")))</f>
        <v>16487.2</v>
      </c>
      <c r="V175" s="64">
        <f>V172*IF(V7=0,"1",IF(V7=1,"2",IF(V7=2,"4",IF(V7=3,"8",IF(V7=4,"16")))))*IF(V6=3,"3.70",IF(V6=2,"5.56",IF(V6=1,"11.11")))</f>
        <v>23176.800000000003</v>
      </c>
      <c r="W175" s="64">
        <f>W172*IF(W7=0,"1",IF(W7=1,"2",IF(W7=2,"4",IF(W7=3,"8",IF(W7=4,"16")))))*IF(W6=3,"3.70",IF(W6=2,"5.56",IF(W6=1,"11.11")))</f>
        <v>12683.6</v>
      </c>
      <c r="X175" s="64">
        <f>X172*IF(X7=0,"1",IF(X7=1,"2",IF(X7=2,"4",IF(X7=3,"8",IF(X7=4,"16")))))*IF(X6=3,"3.70",IF(X6=2,"5.56",IF(X6=1,"11.11")))</f>
        <v>19772.8</v>
      </c>
      <c r="Y175" s="55">
        <f>AVERAGE(T175:X175)</f>
        <v>17034.8</v>
      </c>
      <c r="Z175" s="103">
        <f>STDEV(T175:X175)</f>
        <v>4480.6129223578355</v>
      </c>
      <c r="AA175" s="64">
        <f>AA172*IF(AA7=0,"1",IF(AA7=1,"2",IF(AA7=2,"4",IF(AA7=3,"8",IF(AA7=4,"16")))))*IF(AA6=3,"3.70",IF(AA6=2,"5.56",IF(AA6=1,"11.11")))</f>
        <v>23916.800000000003</v>
      </c>
      <c r="AB175" s="64">
        <f>AB172*IF(AB7=0,"1",IF(AB7=1,"2",IF(AB7=2,"4",IF(AB7=3,"8",IF(AB7=4,"16")))))*IF(AB6=3,"3.70",IF(AB6=2,"5.56",IF(AB6=1,"11.11")))</f>
        <v>9886.4</v>
      </c>
      <c r="AC175" s="64">
        <f>AC172*IF(AC7=0,"1",IF(AC7=1,"2",IF(AC7=2,"4",IF(AC7=3,"8",IF(AC7=4,"16")))))*IF(AC6=3,"3.70",IF(AC6=2,"5.56",IF(AC6=1,"11.11")))</f>
        <v>12017.6</v>
      </c>
      <c r="AD175" s="64">
        <f>AD172*IF(AD7=0,"1",IF(AD7=1,"2",IF(AD7=2,"4",IF(AD7=3,"8",IF(AD7=4,"16")))))*IF(AD6=3,"3.70",IF(AD6=2,"5.56",IF(AD6=1,"11.11")))</f>
        <v>8717.2</v>
      </c>
      <c r="AE175" s="64">
        <f>AE172*IF(AE7=0,"1",IF(AE7=1,"2",IF(AE7=2,"4",IF(AE7=3,"8",IF(AE7=4,"16")))))*IF(AE6=3,"3.70",IF(AE6=2,"5.56",IF(AE6=1,"11.11")))</f>
        <v>10892.800000000001</v>
      </c>
      <c r="AF175" s="55">
        <f aca="true" t="shared" si="44" ref="AF175:AF185">AVERAGE(AA175:AE175)</f>
        <v>13086.16</v>
      </c>
      <c r="AG175" s="103">
        <f>STDEV(AA175:AE175)</f>
        <v>6176.197999416797</v>
      </c>
      <c r="AL175" s="64">
        <f>AL172*IF(AL7=0,"1",IF(AL7=1,"2",IF(AL7=2,"4",IF(AL7=3,"8",IF(AL7=4,"16")))))*IF(AL6=3,"3.70",IF(AL6=2,"5.56",IF(AL6=1,"11.11")))</f>
        <v>20364.8</v>
      </c>
      <c r="AM175" s="64">
        <f>AM172*IF(AM7=0,"1",IF(AM7=1,"2",IF(AM7=2,"4",IF(AM7=3,"8",IF(AM7=4,"16")))))*IF(AM6=3,"3.70",IF(AM6=2,"5.56",IF(AM6=1,"11.11")))</f>
        <v>14740.800000000001</v>
      </c>
      <c r="AN175" s="64">
        <f>AN172*IF(AN7=0,"1",IF(AN7=1,"2",IF(AN7=2,"4",IF(AN7=3,"8",IF(AN7=4,"16")))))*IF(AN6=3,"3.70",IF(AN6=2,"5.56",IF(AN6=1,"11.11")))</f>
        <v>13971.2</v>
      </c>
      <c r="AO175" s="64">
        <f>AO172*IF(AO7=0,"1",IF(AO7=1,"2",IF(AO7=2,"4",IF(AO7=3,"8",IF(AO7=4,"16")))))*IF(AO6=3,"3.70",IF(AO6=2,"5.56",IF(AO6=1,"11.11")))</f>
        <v>17582.4</v>
      </c>
      <c r="AP175" s="64">
        <f>AP172*IF(AP7=0,"1",IF(AP7=1,"2",IF(AP7=2,"4",IF(AP7=3,"8",IF(AP7=4,"16")))))*IF(AP6=3,"3.70",IF(AP6=2,"5.56",IF(AP6=1,"11.11")))</f>
        <v>14681.6</v>
      </c>
      <c r="AQ175" s="55">
        <f aca="true" t="shared" si="45" ref="AQ175:AQ182">AVERAGE(AL175:AP175)</f>
        <v>16268.160000000003</v>
      </c>
      <c r="AR175" s="103">
        <f>STDEV(AL175:AP175)</f>
        <v>2675.6173358684614</v>
      </c>
      <c r="AS175" s="64">
        <f>AS172*IF(AS7=0,"1",IF(AS7=1,"2",IF(AS7=2,"4",IF(AS7=3,"8",IF(AS7=4,"16")))))*IF(AS6=3,"3.70",IF(AS6=2,"5.56",IF(AS6=1,"11.11")))</f>
        <v>17434.4</v>
      </c>
      <c r="AT175" s="64">
        <f>AT172*IF(AT7=0,"1",IF(AT7=1,"2",IF(AT7=2,"4",IF(AT7=3,"8",IF(AT7=4,"16")))))*IF(AT6=3,"3.70",IF(AT6=2,"5.56",IF(AT6=1,"11.11")))</f>
        <v>14622.400000000001</v>
      </c>
      <c r="AU175" s="64">
        <f>AU172*IF(AU7=0,"1",IF(AU7=1,"2",IF(AU7=2,"4",IF(AU7=3,"8",IF(AU7=4,"16")))))*IF(AU6=3,"3.70",IF(AU6=2,"5.56",IF(AU6=1,"11.11")))</f>
        <v>20927.2</v>
      </c>
      <c r="AV175" s="64">
        <f>AV172*IF(AV7=0,"1",IF(AV7=1,"2",IF(AV7=2,"4",IF(AV7=3,"8",IF(AV7=4,"16")))))*IF(AV6=3,"3.70",IF(AV6=2,"5.56",IF(AV6=1,"11.11")))</f>
        <v>15628.800000000001</v>
      </c>
      <c r="AW175" s="64">
        <f>AW172*IF(AW7=0,"1",IF(AW7=1,"2",IF(AW7=2,"4",IF(AW7=3,"8",IF(AW7=4,"16")))))*IF(AW6=3,"3.70",IF(AW6=2,"5.56",IF(AW6=1,"11.11")))</f>
        <v>16576</v>
      </c>
      <c r="AX175" s="55">
        <f aca="true" t="shared" si="46" ref="AX175:AX182">AVERAGE(AS175:AW175)</f>
        <v>17037.760000000002</v>
      </c>
      <c r="AY175" s="103">
        <f>STDEV(AS175:AW175)</f>
        <v>2414.40579190823</v>
      </c>
      <c r="BB175" s="64">
        <f>BB172*IF(BB7=0,"1",IF(BB7=1,"2",IF(BB7=2,"4",IF(BB7=3,"8",IF(BB7=4,"16")))))*IF(BB6=3,"3.70",IF(BB6=2,"5.56",IF(BB6=1,"11.11")))</f>
        <v>38420.8</v>
      </c>
      <c r="BC175" s="64">
        <f>BC172*IF(BC7=0,"1",IF(BC7=1,"2",IF(BC7=2,"4",IF(BC7=3,"8",IF(BC7=4,"16")))))*IF(BC6=3,"3.70",IF(BC6=2,"5.56",IF(BC6=1,"11.11")))</f>
        <v>34336</v>
      </c>
      <c r="BD175" s="64">
        <f>BD172*IF(BD7=0,"1",IF(BD7=1,"2",IF(BD7=2,"4",IF(BD7=3,"8",IF(BD7=4,"16")))))*IF(BD6=3,"3.70",IF(BD6=2,"5.56",IF(BD6=1,"11.11")))</f>
        <v>31849.600000000002</v>
      </c>
      <c r="BE175" s="64">
        <f>BE172*IF(BE7=0,"1",IF(BE7=1,"2",IF(BE7=2,"4",IF(BE7=3,"8",IF(BE7=4,"16")))))*IF(BE6=3,"3.70",IF(BE6=2,"5.56",IF(BE6=1,"11.11")))</f>
        <v>27705.600000000002</v>
      </c>
      <c r="BF175" s="64">
        <f>BF172*IF(BF7=0,"1",IF(BF7=1,"2",IF(BF7=2,"4",IF(BF7=3,"8",IF(BF7=4,"16")))))*IF(BF6=3,"3.70",IF(BF6=2,"5.56",IF(BF6=1,"11.11")))</f>
        <v>16457.600000000002</v>
      </c>
      <c r="BG175" s="55">
        <f aca="true" t="shared" si="47" ref="BG175:BG182">AVERAGE(BB175:BF175)</f>
        <v>29753.920000000002</v>
      </c>
      <c r="BH175" s="103">
        <f>STDEV(BB175:BF175)</f>
        <v>8388.830089589375</v>
      </c>
      <c r="BN175" s="64">
        <f>BN172*IF(BN7=0,"1",IF(BN7=1,"2",IF(BN7=2,"4",IF(BN7=3,"8",IF(BN7=4,"16")))))*IF(BN6=3,"3.70",IF(BN6=2,"5.56",IF(BN6=1,"11.11")))</f>
        <v>33092.8</v>
      </c>
      <c r="BO175" s="64">
        <f>BO172*IF(BO7=0,"1",IF(BO7=1,"2",IF(BO7=2,"4",IF(BO7=3,"8",IF(BO7=4,"16")))))*IF(BO6=3,"3.70",IF(BO6=2,"5.56",IF(BO6=1,"11.11")))</f>
        <v>26580.800000000003</v>
      </c>
      <c r="BP175" s="64">
        <f>BP172*IF(BP7=0,"1",IF(BP7=1,"2",IF(BP7=2,"4",IF(BP7=3,"8",IF(BP7=4,"16")))))*IF(BP6=3,"3.70",IF(BP6=2,"5.56",IF(BP6=1,"11.11")))</f>
        <v>20660.8</v>
      </c>
      <c r="BQ175" s="64">
        <f>BQ172*IF(BQ7=0,"1",IF(BQ7=1,"2",IF(BQ7=2,"4",IF(BQ7=3,"8",IF(BQ7=4,"16")))))*IF(BQ6=3,"3.70",IF(BQ6=2,"5.56",IF(BQ6=1,"11.11")))</f>
        <v>26462.4</v>
      </c>
      <c r="BR175" s="64">
        <f>BR172*IF(BR7=0,"1",IF(BR7=1,"2",IF(BR7=2,"4",IF(BR7=3,"8",IF(BR7=4,"16")))))*IF(BR6=3,"3.70",IF(BR6=2,"5.56",IF(BR6=1,"11.11")))</f>
        <v>18648</v>
      </c>
      <c r="BS175" s="55">
        <f aca="true" t="shared" si="48" ref="BS175:BS182">AVERAGE(BN175:BR175)</f>
        <v>25088.960000000003</v>
      </c>
      <c r="BT175" s="103">
        <f>STDEV(BN175:BR175)</f>
        <v>5684.803107232467</v>
      </c>
      <c r="BU175" s="64">
        <f>BU172*IF(BU7=0,"1",IF(BU7=1,"2",IF(BU7=2,"4",IF(BU7=3,"8",IF(BU7=4,"16")))))*IF(BU6=3,"3.70",IF(BU6=2,"5.56",IF(BU6=1,"11.11")))</f>
        <v>27054.4</v>
      </c>
      <c r="BV175" s="64">
        <f>BV172*IF(BV7=0,"1",IF(BV7=1,"2",IF(BV7=2,"4",IF(BV7=3,"8",IF(BV7=4,"16")))))*IF(BV6=3,"3.70",IF(BV6=2,"5.56",IF(BV6=1,"11.11")))</f>
        <v>30428.800000000003</v>
      </c>
      <c r="BW175" s="64">
        <f>BW172*IF(BW7=0,"1",IF(BW7=1,"2",IF(BW7=2,"4",IF(BW7=3,"8",IF(BW7=4,"16")))))*IF(BW6=3,"3.70",IF(BW6=2,"5.56",IF(BW6=1,"11.11")))</f>
        <v>17197.600000000002</v>
      </c>
      <c r="BX175" s="64">
        <f>BX172*IF(BX7=0,"1",IF(BX7=1,"2",IF(BX7=2,"4",IF(BX7=3,"8",IF(BX7=4,"16")))))*IF(BX6=3,"3.70",IF(BX6=2,"5.56",IF(BX6=1,"11.11")))</f>
        <v>23620.800000000003</v>
      </c>
      <c r="BY175" s="64">
        <f>BY172*IF(BY7=0,"1",IF(BY7=1,"2",IF(BY7=2,"4",IF(BY7=3,"8",IF(BY7=4,"16")))))*IF(BY6=3,"3.70",IF(BY6=2,"5.56",IF(BY6=1,"11.11")))</f>
        <v>30902.4</v>
      </c>
      <c r="BZ175" s="55">
        <f aca="true" t="shared" si="49" ref="BZ175:BZ182">AVERAGE(BU175:BY175)</f>
        <v>25840.8</v>
      </c>
      <c r="CA175" s="103">
        <f>STDEV(BU175:BY175)</f>
        <v>5651.895030872404</v>
      </c>
      <c r="CD175" s="64">
        <f>CD172*IF(CD7=0,"1",IF(CD7=1,"2",IF(CD7=2,"4",IF(CD7=3,"8",IF(CD7=4,"16")))))*IF(CD6=3,"3.70",IF(CD6=2,"5.56",IF(CD6=1,"11.11")))</f>
        <v>42683.200000000004</v>
      </c>
      <c r="CE175" s="64">
        <f>CE172*IF(CE7=0,"1",IF(CE7=1,"2",IF(CE7=2,"4",IF(CE7=3,"8",IF(CE7=4,"16")))))*IF(CE6=3,"3.70",IF(CE6=2,"5.56",IF(CE6=1,"11.11")))</f>
        <v>0</v>
      </c>
      <c r="CF175" s="64">
        <f>CF172*IF(CF7=0,"1",IF(CF7=1,"2",IF(CF7=2,"4",IF(CF7=3,"8",IF(CF7=4,"16")))))*IF(CF6=3,"3.70",IF(CF6=2,"5.56",IF(CF6=1,"11.11")))</f>
        <v>0</v>
      </c>
      <c r="CG175" s="64">
        <f>CG172*IF(CG7=0,"1",IF(CG7=1,"2",IF(CG7=2,"4",IF(CG7=3,"8",IF(CG7=4,"16")))))*IF(CG6=3,"3.70",IF(CG6=2,"5.56",IF(CG6=1,"11.11")))</f>
        <v>9649.6</v>
      </c>
      <c r="CH175" s="64">
        <f>CH172*IF(CH7=0,"1",IF(CH7=1,"2",IF(CH7=2,"4",IF(CH7=3,"8",IF(CH7=4,"16")))))*IF(CH6=3,"3.70",IF(CH6=2,"5.56",IF(CH6=1,"11.11")))</f>
        <v>9412.800000000001</v>
      </c>
      <c r="CI175" s="55">
        <f aca="true" t="shared" si="50" ref="CI175:CI182">AVERAGE(CD175:CH175)</f>
        <v>12349.12</v>
      </c>
      <c r="CJ175" s="103">
        <f>STDEV(CD175:CH175)</f>
        <v>17614.392711416425</v>
      </c>
      <c r="CP175" s="64">
        <f>CP172*(1/CP7)*IF(CP6=3,"3.70",IF(CP6=2,"5.56",IF(CP6=1,"11.11")))</f>
        <v>32796.8</v>
      </c>
      <c r="CQ175" s="64">
        <f>CQ172*(1/CQ7)*IF(CQ6=3,"3.70",IF(CQ6=2,"5.56",IF(CQ6=1,"11.11")))</f>
        <v>51780.26666666667</v>
      </c>
      <c r="CR175" s="64">
        <f>CR172*(1/CR7)*IF(CR6=3,"3.70",IF(CR6=2,"5.56",IF(CR6=1,"11.11")))</f>
        <v>77433.6</v>
      </c>
      <c r="CS175" s="64">
        <f>CS172*(1/CS7)*IF(CS6=3,"3.70",IF(CS6=2,"5.56",IF(CS6=1,"11.11")))</f>
        <v>24074.666666666664</v>
      </c>
      <c r="CT175" s="64">
        <f>CT172*(1/CT7)*IF(CT6=3,"3.70",IF(CT6=2,"5.56",IF(CT6=1,"11.11")))</f>
        <v>22910.4</v>
      </c>
      <c r="CU175" s="55">
        <f>AVERAGE(CP175:CT175)</f>
        <v>41799.14666666667</v>
      </c>
      <c r="CV175" s="103">
        <f>STDEV(CP175:CT175)</f>
        <v>23029.444241202753</v>
      </c>
      <c r="CY175" s="64">
        <f>CY172*(1/CY7)*IF(CY6=3,"3.70",IF(CY6=2,"5.56",IF(CY6=1,"11.11")))</f>
        <v>45031.46666666667</v>
      </c>
      <c r="CZ175" s="64">
        <f>CZ172*(1/CZ7)*IF(CZ6=3,"3.70",IF(CZ6=2,"5.56",IF(CZ6=1,"11.11")))</f>
        <v>62278.4</v>
      </c>
      <c r="DA175" s="64">
        <f>DA172*(1/DA7)*IF(DA6=3,"3.70",IF(DA6=2,"5.56",IF(DA6=1,"11.11")))</f>
        <v>32678.4</v>
      </c>
      <c r="DB175" s="64">
        <f>DB172*(1/DB7)*IF(DB6=3,"3.70",IF(DB6=2,"5.56",IF(DB6=1,"11.11")))</f>
        <v>17079.2</v>
      </c>
      <c r="DC175" s="64">
        <f>DC172*(1/DC7)*IF(DC6=3,"3.70",IF(DC6=2,"5.56",IF(DC6=1,"11.11")))</f>
        <v>76486.40000000001</v>
      </c>
      <c r="DD175" s="55">
        <f>AVERAGE(CY175:DC175)</f>
        <v>46710.77333333334</v>
      </c>
      <c r="DE175" s="103">
        <f>STDEV(CY175:DC175)</f>
        <v>23487.744963495792</v>
      </c>
      <c r="DH175" s="64">
        <f>DH172*(1/DH7)*IF(DH6=3,"3.70",IF(DH6=2,"5.56",IF(DH6=1,"11.11")))</f>
        <v>16783.2</v>
      </c>
      <c r="DI175" s="64">
        <f>DI172*(1/DI7)*IF(DI6=3,"3.70",IF(DI6=2,"5.56",IF(DI6=1,"11.11")))</f>
        <v>8391.6</v>
      </c>
      <c r="DJ175" s="64">
        <f>DJ172*(1/DJ7)*IF(DJ6=3,"3.70",IF(DJ6=2,"5.56",IF(DJ6=1,"11.11")))</f>
        <v>34336</v>
      </c>
      <c r="DK175" s="64">
        <f>DK172*(1/DK7)*IF(DK6=3,"3.70",IF(DK6=2,"5.56",IF(DK6=1,"11.11")))</f>
        <v>22377.600000000002</v>
      </c>
      <c r="DL175" s="64">
        <f>DL172*(1/DL7)*IF(DL6=3,"3.70",IF(DL6=2,"5.56",IF(DL6=1,"11.11")))</f>
        <v>24469.333333333332</v>
      </c>
      <c r="DM175" s="55">
        <f>AVERAGE(DH175:DL175)</f>
        <v>21271.54666666667</v>
      </c>
      <c r="DN175" s="103">
        <f>STDEV(DH175:DL175)</f>
        <v>9593.844594020804</v>
      </c>
      <c r="DQ175" s="64">
        <f>DQ172*(1/DQ7)*IF(DQ6=3,"3.70",IF(DQ6=2,"5.56",IF(DQ6=1,"11.11")))</f>
        <v>67251.2</v>
      </c>
      <c r="DR175" s="64">
        <f>DR172*(1/DR7)*IF(DR6=3,"3.70",IF(DR6=2,"5.56",IF(DR6=1,"11.11")))</f>
        <v>45070.933333333334</v>
      </c>
      <c r="DS175" s="64">
        <f>DS172*(1/DS7)*IF(DS6=3,"3.70",IF(DS6=2,"5.56",IF(DS6=1,"11.11")))</f>
        <v>47912.53333333333</v>
      </c>
      <c r="DT175" s="64">
        <f>DT172*(1/DT7)*IF(DT6=3,"3.70",IF(DT6=2,"5.56",IF(DT6=1,"11.11")))</f>
        <v>127398.40000000001</v>
      </c>
      <c r="DU175" s="64">
        <f>DU172*(1/DU7)*IF(DU6=3,"3.70",IF(DU6=2,"5.56",IF(DU6=1,"11.11")))</f>
        <v>130003.20000000001</v>
      </c>
      <c r="DV175" s="99">
        <f aca="true" t="shared" si="51" ref="DV175:DV182">AVERAGE(DQ175:DU175)</f>
        <v>83527.25333333333</v>
      </c>
      <c r="DW175" s="103">
        <f>STDEV(DQ175:DU175)</f>
        <v>42121.54398031173</v>
      </c>
      <c r="EA175" s="64">
        <f>EA172*(1/EA7)*IF(EA6=3,"3.70",IF(EA6=2,"5.56",IF(EA6=1,"11.11")))</f>
        <v>41676.8</v>
      </c>
      <c r="EB175" s="64">
        <f>EB172*(1/EB7)*IF(EB6=3,"3.70",IF(EB6=2,"5.56",IF(EB6=1,"11.11")))</f>
        <v>63462.4</v>
      </c>
      <c r="EC175" s="64">
        <f>EC172*(1/EC7)*IF(EC6=3,"3.70",IF(EC6=2,"5.56",IF(EC6=1,"11.11")))</f>
        <v>62988.8</v>
      </c>
      <c r="ED175" s="64">
        <f>ED172*(1/ED7)*IF(ED6=3,"3.70",IF(ED6=2,"5.56",IF(ED6=1,"11.11")))</f>
        <v>21035.733333333334</v>
      </c>
      <c r="EE175" s="64">
        <f>EE172*(1/EE7)*IF(EE6=3,"3.70",IF(EE6=2,"5.56",IF(EE6=1,"11.11")))</f>
        <v>22259.2</v>
      </c>
      <c r="EF175" s="55">
        <f>AVERAGE(EA175:EE175)</f>
        <v>42284.58666666667</v>
      </c>
      <c r="EG175" s="103">
        <f>STDEV(EA175:EE175)</f>
        <v>20797.016078616227</v>
      </c>
    </row>
    <row r="176" spans="2:137" ht="12.75">
      <c r="B176" s="54"/>
      <c r="D176" s="53" t="s">
        <v>102</v>
      </c>
      <c r="F176" s="66">
        <f>SUMPRODUCT($E$13:$E$168*F13:F168)/F172</f>
        <v>2.2082018927444795</v>
      </c>
      <c r="G176" s="66">
        <f>SUMPRODUCT($E$13:$E$168*G13:G168)/G172</f>
        <v>1.3344827586206895</v>
      </c>
      <c r="H176" s="66">
        <f>SUMPRODUCT($E$13:$E$168*H13:H168)/H172</f>
        <v>2.8181208053691273</v>
      </c>
      <c r="I176" s="66">
        <f>SUMPRODUCT($E$13:$E$168*I13:I168)/I172</f>
        <v>3.3872881355932205</v>
      </c>
      <c r="J176" s="66">
        <f>SUMPRODUCT($E$13:$E$168*J13:J168)/J172</f>
        <v>3.1752808988764043</v>
      </c>
      <c r="K176" s="55">
        <f>AVERAGE(F176:J176)</f>
        <v>2.5846748982407846</v>
      </c>
      <c r="L176" s="103">
        <f aca="true" t="shared" si="52" ref="L176:L182">STDEV(F176:J176)</f>
        <v>0.8294897163543411</v>
      </c>
      <c r="M176" s="66">
        <f>SUMPRODUCT($E$13:$E$168*M13:M168)/M172</f>
        <v>2.486697965571205</v>
      </c>
      <c r="N176" s="66">
        <f>SUMPRODUCT($E$13:$E$168*N13:N168)/N172</f>
        <v>2.8337874659400546</v>
      </c>
      <c r="O176" s="66">
        <f>SUMPRODUCT($E$13:$E$168*O13:O168)/O172</f>
        <v>3.1802656546489563</v>
      </c>
      <c r="P176" s="66">
        <f>SUMPRODUCT($E$13:$E$168*P13:P168)/P172</f>
        <v>3.9714714714714714</v>
      </c>
      <c r="Q176" s="66">
        <f>SUMPRODUCT($E$13:$E$168*Q13:Q168)/Q172</f>
        <v>2.309368191721133</v>
      </c>
      <c r="R176" s="55">
        <f t="shared" si="43"/>
        <v>2.956318149870564</v>
      </c>
      <c r="S176" s="103">
        <f aca="true" t="shared" si="53" ref="S176:S182">STDEV(M176:Q176)</f>
        <v>0.6585571132425098</v>
      </c>
      <c r="T176" s="66">
        <f>SUMPRODUCT($E$13:$E$168*T13:T168)/T172</f>
        <v>4.666666666666667</v>
      </c>
      <c r="U176" s="66">
        <f>SUMPRODUCT($E$13:$E$168*U13:U168)/U172</f>
        <v>5.368043087971275</v>
      </c>
      <c r="V176" s="66">
        <f>SUMPRODUCT($E$13:$E$168*V13:V168)/V172</f>
        <v>4.425287356321839</v>
      </c>
      <c r="W176" s="66">
        <f>SUMPRODUCT($E$13:$E$168*W13:W168)/W172</f>
        <v>5.08051341890315</v>
      </c>
      <c r="X176" s="66">
        <f>SUMPRODUCT($E$13:$E$168*X13:X168)/X172</f>
        <v>2.7245508982035926</v>
      </c>
      <c r="Y176" s="55">
        <f aca="true" t="shared" si="54" ref="Y176:Y185">AVERAGE(T176:X176)</f>
        <v>4.453012285613304</v>
      </c>
      <c r="Z176" s="103">
        <f aca="true" t="shared" si="55" ref="Z176:Z182">STDEV(T176:X176)</f>
        <v>1.0325980190226218</v>
      </c>
      <c r="AA176" s="66">
        <f>SUMPRODUCT($E$13:$E$168*AA13:AA168)/AA172</f>
        <v>3.657178217821782</v>
      </c>
      <c r="AB176" s="66">
        <f>SUMPRODUCT($E$13:$E$168*AB13:AB168)/AB172</f>
        <v>3.0059880239520957</v>
      </c>
      <c r="AC176" s="66">
        <f>SUMPRODUCT($E$13:$E$168*AC13:AC168)/AC172</f>
        <v>3.647783251231527</v>
      </c>
      <c r="AD176" s="66">
        <f>SUMPRODUCT($E$13:$E$168*AD13:AD168)/AD172</f>
        <v>3.519524617996604</v>
      </c>
      <c r="AE176" s="66">
        <f>SUMPRODUCT($E$13:$E$168*AE13:AE168)/AE172</f>
        <v>3.1331521739130435</v>
      </c>
      <c r="AF176" s="55">
        <f t="shared" si="44"/>
        <v>3.3927252569830104</v>
      </c>
      <c r="AG176" s="103">
        <f aca="true" t="shared" si="56" ref="AG176:AG182">STDEV(AA176:AE176)</f>
        <v>0.30331992176034084</v>
      </c>
      <c r="AL176" s="66">
        <f>SUMPRODUCT($E$13:$E$168*AL13:AL168)/AL172</f>
        <v>3.127906976744186</v>
      </c>
      <c r="AM176" s="66">
        <f>SUMPRODUCT($E$13:$E$168*AM13:AM168)/AM172</f>
        <v>3.0180722891566263</v>
      </c>
      <c r="AN176" s="66">
        <f>SUMPRODUCT($E$13:$E$168*AN13:AN168)/AN172</f>
        <v>2.5995762711864407</v>
      </c>
      <c r="AO176" s="66">
        <f>SUMPRODUCT($E$13:$E$168*AO13:AO168)/AO172</f>
        <v>2.9393939393939394</v>
      </c>
      <c r="AP176" s="66">
        <f>SUMPRODUCT($E$13:$E$168*AP13:AP168)/AP172</f>
        <v>3.818548387096774</v>
      </c>
      <c r="AQ176" s="55">
        <f t="shared" si="45"/>
        <v>3.1006995727155933</v>
      </c>
      <c r="AR176" s="103">
        <f aca="true" t="shared" si="57" ref="AR176:AR182">STDEV(AL176:AP176)</f>
        <v>0.44721876688248363</v>
      </c>
      <c r="AS176" s="66">
        <f>SUMPRODUCT($E$13:$E$168*AS13:AS168)/AS172</f>
        <v>3.7487266553480474</v>
      </c>
      <c r="AT176" s="66">
        <f>SUMPRODUCT($E$13:$E$168*AT13:AT168)/AT172</f>
        <v>3.919028340080972</v>
      </c>
      <c r="AU176" s="66">
        <f>SUMPRODUCT($E$13:$E$168*AU13:AU168)/AU172</f>
        <v>3.0975954738330977</v>
      </c>
      <c r="AV176" s="66">
        <f>SUMPRODUCT($E$13:$E$168*AV13:AV168)/AV172</f>
        <v>5.015151515151516</v>
      </c>
      <c r="AW176" s="66">
        <f>SUMPRODUCT($E$13:$E$168*AW13:AW168)/AW172</f>
        <v>2.857142857142857</v>
      </c>
      <c r="AX176" s="55">
        <f t="shared" si="46"/>
        <v>3.727528968311298</v>
      </c>
      <c r="AY176" s="103">
        <f aca="true" t="shared" si="58" ref="AY176:AY182">STDEV(AS176:AW176)</f>
        <v>0.8440203440136408</v>
      </c>
      <c r="BB176" s="66">
        <f>SUMPRODUCT($E$13:$E$168*BB13:BB168)/BB172</f>
        <v>4.835130970724191</v>
      </c>
      <c r="BC176" s="66">
        <f>SUMPRODUCT($E$13:$E$168*BC13:BC168)/BC172</f>
        <v>3.8879310344827585</v>
      </c>
      <c r="BD176" s="66">
        <f>SUMPRODUCT($E$13:$E$168*BD13:BD168)/BD172</f>
        <v>2.9814126394052045</v>
      </c>
      <c r="BE176" s="66">
        <f>SUMPRODUCT($E$13:$E$168*BE13:BE168)/BE172</f>
        <v>3.532051282051282</v>
      </c>
      <c r="BF176" s="66">
        <f>SUMPRODUCT($E$13:$E$168*BF13:BF168)/BF172</f>
        <v>3.7535971223021583</v>
      </c>
      <c r="BG176" s="55">
        <f t="shared" si="47"/>
        <v>3.7980246097931185</v>
      </c>
      <c r="BH176" s="103">
        <f aca="true" t="shared" si="59" ref="BH176:BH182">STDEV(BB176:BF176)</f>
        <v>0.6751376696607585</v>
      </c>
      <c r="BN176" s="66">
        <f>SUMPRODUCT($E$13:$E$168*BN13:BN168)/BN172</f>
        <v>2.98479427549195</v>
      </c>
      <c r="BO176" s="66">
        <f>SUMPRODUCT($E$13:$E$168*BO13:BO168)/BO172</f>
        <v>3.060133630289532</v>
      </c>
      <c r="BP176" s="66">
        <f>SUMPRODUCT($E$13:$E$168*BP13:BP168)/BP172</f>
        <v>3.273638968481375</v>
      </c>
      <c r="BQ176" s="66">
        <f>SUMPRODUCT($E$13:$E$168*BQ13:BQ168)/BQ172</f>
        <v>3.0425055928411635</v>
      </c>
      <c r="BR176" s="66">
        <f>SUMPRODUCT($E$13:$E$168*BR13:BR168)/BR172</f>
        <v>3.511111111111111</v>
      </c>
      <c r="BS176" s="55">
        <f t="shared" si="48"/>
        <v>3.174436715643026</v>
      </c>
      <c r="BT176" s="103">
        <f aca="true" t="shared" si="60" ref="BT176:BT182">STDEV(BN176:BR176)</f>
        <v>0.21773034189310717</v>
      </c>
      <c r="BU176" s="66">
        <f>SUMPRODUCT($E$13:$E$168*BU13:BU168)/BU172</f>
        <v>3.3719912472647704</v>
      </c>
      <c r="BV176" s="66">
        <f>SUMPRODUCT($E$13:$E$168*BV13:BV168)/BV172</f>
        <v>3.7237354085603114</v>
      </c>
      <c r="BW176" s="66">
        <f>SUMPRODUCT($E$13:$E$168*BW13:BW168)/BW172</f>
        <v>3.4543889845094666</v>
      </c>
      <c r="BX176" s="66">
        <f>SUMPRODUCT($E$13:$E$168*BX13:BX168)/BX172</f>
        <v>3.4285714285714284</v>
      </c>
      <c r="BY176" s="66">
        <f>SUMPRODUCT($E$13:$E$168*BY13:BY168)/BY172</f>
        <v>3.1973180076628354</v>
      </c>
      <c r="BZ176" s="55">
        <f t="shared" si="49"/>
        <v>3.435201015313763</v>
      </c>
      <c r="CA176" s="103">
        <f aca="true" t="shared" si="61" ref="CA176:CA182">STDEV(BU176:BY176)</f>
        <v>0.18989999063601332</v>
      </c>
      <c r="CD176" s="66">
        <f>SUMPRODUCT($E$13:$E$168*CD13:CD168)/CD172</f>
        <v>4.376560332871012</v>
      </c>
      <c r="CE176" s="66">
        <f>SUMPRODUCT($E$13:$E$168*CE13:CE168)/CE172</f>
        <v>4.523809523809524</v>
      </c>
      <c r="CF176" s="66">
        <f>SUMPRODUCT($E$13:$E$168*CF13:CF168)/CF172</f>
        <v>4.7377622377622375</v>
      </c>
      <c r="CG176" s="66">
        <f>SUMPRODUCT($E$13:$E$168*CG13:CG168)/CG172</f>
        <v>4.101226993865031</v>
      </c>
      <c r="CH176" s="66">
        <f>SUMPRODUCT($E$13:$E$168*CH13:CH168)/CH172</f>
        <v>4.836477987421383</v>
      </c>
      <c r="CI176" s="55">
        <f t="shared" si="50"/>
        <v>4.515167415145838</v>
      </c>
      <c r="CJ176" s="103">
        <f aca="true" t="shared" si="62" ref="CJ176:CJ182">STDEV(CD176:CH176)</f>
        <v>0.29301118604103316</v>
      </c>
      <c r="CP176" s="66">
        <f>SUMPRODUCT($E$13:$E$168*CP13:CP168)/CP172</f>
        <v>4.637184115523466</v>
      </c>
      <c r="CQ176" s="66">
        <f>SUMPRODUCT($E$13:$E$168*CQ13:CQ168)/CQ172</f>
        <v>4.176829268292683</v>
      </c>
      <c r="CR176" s="66">
        <f>SUMPRODUCT($E$13:$E$168*CR13:CR168)/CR172</f>
        <v>4.440366972477064</v>
      </c>
      <c r="CS176" s="66">
        <f>SUMPRODUCT($E$13:$E$168*CS13:CS168)/CS172</f>
        <v>3.8295081967213114</v>
      </c>
      <c r="CT176" s="66">
        <f>SUMPRODUCT($E$13:$E$168*CT13:CT168)/CT172</f>
        <v>3.9289405684754524</v>
      </c>
      <c r="CU176" s="55">
        <f aca="true" t="shared" si="63" ref="CU176:CU182">AVERAGE(CP176:CT176)</f>
        <v>4.202565824297996</v>
      </c>
      <c r="CV176" s="103">
        <f aca="true" t="shared" si="64" ref="CV176:CV182">STDEV(CP176:CT176)</f>
        <v>0.33917089703241815</v>
      </c>
      <c r="CY176" s="66">
        <f>SUMPRODUCT($E$13:$E$168*CY13:CY168)/CY172</f>
        <v>3.1016652059596845</v>
      </c>
      <c r="CZ176" s="66">
        <f>SUMPRODUCT($E$13:$E$168*CZ13:CZ168)/CZ172</f>
        <v>3.7547528517110265</v>
      </c>
      <c r="DA176" s="66">
        <f>SUMPRODUCT($E$13:$E$168*DA13:DA168)/DA172</f>
        <v>4.257246376811594</v>
      </c>
      <c r="DB176" s="66">
        <f>SUMPRODUCT($E$13:$E$168*DB13:DB168)/DB172</f>
        <v>3.4506065857885617</v>
      </c>
      <c r="DC176" s="66">
        <f>SUMPRODUCT($E$13:$E$168*DC13:DC168)/DC172</f>
        <v>3.93343653250774</v>
      </c>
      <c r="DD176" s="55">
        <f aca="true" t="shared" si="65" ref="DD176:DD182">AVERAGE(CY176:DC176)</f>
        <v>3.6995415105557212</v>
      </c>
      <c r="DE176" s="103">
        <f aca="true" t="shared" si="66" ref="DE176:DE182">STDEV(CY176:DC176)</f>
        <v>0.443907243604399</v>
      </c>
      <c r="DH176" s="66">
        <f>SUMPRODUCT($E$13:$E$168*DH13:DH168)/DH172</f>
        <v>4.4867724867724865</v>
      </c>
      <c r="DI176" s="66">
        <f>SUMPRODUCT($E$13:$E$168*DI13:DI168)/DI172</f>
        <v>3.634920634920635</v>
      </c>
      <c r="DJ176" s="66">
        <f>SUMPRODUCT($E$13:$E$168*DJ13:DJ168)/DJ172</f>
        <v>4.896551724137931</v>
      </c>
      <c r="DK176" s="66">
        <f>SUMPRODUCT($E$13:$E$168*DK13:DK168)/DK172</f>
        <v>4.105820105820106</v>
      </c>
      <c r="DL176" s="66">
        <f>SUMPRODUCT($E$13:$E$168*DL13:DL168)/DL172</f>
        <v>4.77741935483871</v>
      </c>
      <c r="DM176" s="55">
        <f aca="true" t="shared" si="67" ref="DM176:DM182">AVERAGE(DH176:DL176)</f>
        <v>4.380296861297973</v>
      </c>
      <c r="DN176" s="103">
        <f aca="true" t="shared" si="68" ref="DN176:DN182">STDEV(DH176:DL176)</f>
        <v>0.5163539544847823</v>
      </c>
      <c r="DQ176" s="66">
        <f>SUMPRODUCT($E$13:$E$168*DQ13:DQ168)/DQ172</f>
        <v>5.197183098591549</v>
      </c>
      <c r="DR176" s="66">
        <f>SUMPRODUCT($E$13:$E$168*DR13:DR168)/DR172</f>
        <v>5.220665499124343</v>
      </c>
      <c r="DS176" s="66">
        <f>SUMPRODUCT($E$13:$E$168*DS13:DS168)/DS172</f>
        <v>4.864909390444811</v>
      </c>
      <c r="DT176" s="66">
        <f>SUMPRODUCT($E$13:$E$168*DT13:DT168)/DT172</f>
        <v>5.330855018587361</v>
      </c>
      <c r="DU176" s="66">
        <f>SUMPRODUCT($E$13:$E$168*DU13:DU168)/DU172</f>
        <v>4.896174863387978</v>
      </c>
      <c r="DV176" s="72">
        <f t="shared" si="51"/>
        <v>5.1019575740272085</v>
      </c>
      <c r="DW176" s="103">
        <f aca="true" t="shared" si="69" ref="DW176:DW182">STDEV(DQ176:DU176)</f>
        <v>0.20862159372491967</v>
      </c>
      <c r="EA176" s="66">
        <f>SUMPRODUCT($E$13:$E$168*EA13:EA168)/EA172</f>
        <v>4.517045454545454</v>
      </c>
      <c r="EB176" s="66">
        <f>SUMPRODUCT($E$13:$E$168*EB13:EB168)/EB172</f>
        <v>4.108208955223881</v>
      </c>
      <c r="EC176" s="66">
        <f>SUMPRODUCT($E$13:$E$168*EC13:EC168)/EC172</f>
        <v>4.394736842105263</v>
      </c>
      <c r="ED176" s="66">
        <f>SUMPRODUCT($E$13:$E$168*ED13:ED168)/ED172</f>
        <v>4.2439024390243905</v>
      </c>
      <c r="EE176" s="66">
        <f>SUMPRODUCT($E$13:$E$168*EE13:EE168)/EE172</f>
        <v>3.50709219858156</v>
      </c>
      <c r="EF176" s="55">
        <f aca="true" t="shared" si="70" ref="EF176:EF182">AVERAGE(EA176:EE176)</f>
        <v>4.15419717789611</v>
      </c>
      <c r="EG176" s="103">
        <f aca="true" t="shared" si="71" ref="EG176:EG182">STDEV(EA176:EE176)</f>
        <v>0.3932000148389986</v>
      </c>
    </row>
    <row r="177" spans="2:137" ht="12.75">
      <c r="B177" s="54"/>
      <c r="D177" s="53" t="s">
        <v>553</v>
      </c>
      <c r="F177" s="76">
        <f>MAX(F13:F168)/F172</f>
        <v>0.4868559411146162</v>
      </c>
      <c r="G177" s="76">
        <f>MAX(G13:G168)/G172</f>
        <v>0.8758620689655172</v>
      </c>
      <c r="H177" s="76">
        <f>MAX(H13:H168)/H172</f>
        <v>0.5677852348993289</v>
      </c>
      <c r="I177" s="76">
        <f>MAX(I13:I168)/I172</f>
        <v>0.6330508474576271</v>
      </c>
      <c r="J177" s="76">
        <f>MAX(J13:J168)/J172</f>
        <v>0.3325842696629214</v>
      </c>
      <c r="K177" s="98">
        <f>AVERAGE(F177:J177)</f>
        <v>0.5792276724200022</v>
      </c>
      <c r="L177" s="103">
        <f t="shared" si="52"/>
        <v>0.2002406886907683</v>
      </c>
      <c r="M177" s="76">
        <f>MAX(M13:M168)/M172</f>
        <v>0.4945226917057903</v>
      </c>
      <c r="N177" s="76">
        <f>MAX(N13:N168)/N172</f>
        <v>0.44686648501362397</v>
      </c>
      <c r="O177" s="76">
        <f>MAX(O13:O168)/O172</f>
        <v>0.3415559772296015</v>
      </c>
      <c r="P177" s="76">
        <f>MAX(P13:P168)/P172</f>
        <v>0.2147147147147147</v>
      </c>
      <c r="Q177" s="76">
        <f>MAX(Q13:Q168)/Q172</f>
        <v>0.37037037037037035</v>
      </c>
      <c r="R177" s="55">
        <f t="shared" si="43"/>
        <v>0.3736060478068201</v>
      </c>
      <c r="S177" s="103">
        <f t="shared" si="53"/>
        <v>0.10755470561043175</v>
      </c>
      <c r="T177" s="76">
        <f>MAX(T13:T168)/T172</f>
        <v>0.25170068027210885</v>
      </c>
      <c r="U177" s="76">
        <f>MAX(U13:U168)/U172</f>
        <v>0.3644524236983842</v>
      </c>
      <c r="V177" s="76">
        <f>MAX(V13:V168)/V172</f>
        <v>0.26181353767560667</v>
      </c>
      <c r="W177" s="76">
        <f>MAX(W13:W168)/W172</f>
        <v>0.3045507584597433</v>
      </c>
      <c r="X177" s="76">
        <f>MAX(X13:X168)/X172</f>
        <v>0.27395209580838326</v>
      </c>
      <c r="Y177" s="55">
        <f t="shared" si="54"/>
        <v>0.2912938991828452</v>
      </c>
      <c r="Z177" s="103">
        <f t="shared" si="55"/>
        <v>0.04545703155114661</v>
      </c>
      <c r="AA177" s="76">
        <f>MAX(AA13:AA168)/AA172</f>
        <v>0.2042079207920792</v>
      </c>
      <c r="AB177" s="76">
        <f>MAX(AB13:AB168)/AB172</f>
        <v>0.27844311377245506</v>
      </c>
      <c r="AC177" s="76">
        <f>MAX(AC13:AC168)/AC172</f>
        <v>0.15763546798029557</v>
      </c>
      <c r="AD177" s="76">
        <f>MAX(AD13:AD168)/AD172</f>
        <v>0.3531409168081494</v>
      </c>
      <c r="AE177" s="76">
        <f>MAX(AE13:AE168)/AE172</f>
        <v>0.26902173913043476</v>
      </c>
      <c r="AF177" s="55">
        <f t="shared" si="44"/>
        <v>0.2524898316966828</v>
      </c>
      <c r="AG177" s="103">
        <f t="shared" si="56"/>
        <v>0.07484318770713055</v>
      </c>
      <c r="AL177" s="76">
        <f>MAX(AL13:AL168)/AL172</f>
        <v>0.2543604651162791</v>
      </c>
      <c r="AM177" s="76">
        <f>MAX(AM13:AM168)/AM172</f>
        <v>0.24096385542168675</v>
      </c>
      <c r="AN177" s="76">
        <f>MAX(AN13:AN168)/AN172</f>
        <v>0.2033898305084746</v>
      </c>
      <c r="AO177" s="76">
        <f>MAX(AO13:AO168)/AO172</f>
        <v>0.16835016835016836</v>
      </c>
      <c r="AP177" s="76">
        <f>MAX(AP13:AP168)/AP172</f>
        <v>0.20967741935483872</v>
      </c>
      <c r="AQ177" s="55">
        <f t="shared" si="45"/>
        <v>0.2153483477502895</v>
      </c>
      <c r="AR177" s="103">
        <f t="shared" si="57"/>
        <v>0.03377163737907982</v>
      </c>
      <c r="AS177" s="76">
        <f>MAX(AS13:AS168)/AS172</f>
        <v>0.12563667232597622</v>
      </c>
      <c r="AT177" s="76">
        <f>MAX(AT13:AT168)/AT172</f>
        <v>0.14979757085020243</v>
      </c>
      <c r="AU177" s="76">
        <f>MAX(AU13:AU168)/AU172</f>
        <v>0.17114568599717114</v>
      </c>
      <c r="AV177" s="76">
        <f>MAX(AV13:AV168)/AV172</f>
        <v>0.2746212121212121</v>
      </c>
      <c r="AW177" s="76">
        <f>MAX(AW13:AW168)/AW172</f>
        <v>0.15357142857142858</v>
      </c>
      <c r="AX177" s="55">
        <f t="shared" si="46"/>
        <v>0.17495451397319808</v>
      </c>
      <c r="AY177" s="103">
        <f t="shared" si="58"/>
        <v>0.05803084422014685</v>
      </c>
      <c r="BB177" s="76">
        <f>MAX(BB13:BB168)/BB172</f>
        <v>0.2465331278890601</v>
      </c>
      <c r="BC177" s="76">
        <f>MAX(BC13:BC168)/BC172</f>
        <v>0.1396551724137931</v>
      </c>
      <c r="BD177" s="76">
        <f>MAX(BD13:BD168)/BD172</f>
        <v>0.362453531598513</v>
      </c>
      <c r="BE177" s="76">
        <f>MAX(BE13:BE168)/BE172</f>
        <v>0.15384615384615385</v>
      </c>
      <c r="BF177" s="76">
        <f>MAX(BF13:BF168)/BF172</f>
        <v>0.14388489208633093</v>
      </c>
      <c r="BG177" s="55">
        <f t="shared" si="47"/>
        <v>0.2092745755667702</v>
      </c>
      <c r="BH177" s="103">
        <f t="shared" si="59"/>
        <v>0.09623795278840705</v>
      </c>
      <c r="BN177" s="76">
        <f>MAX(BN13:BN168)/BN172</f>
        <v>0.24865831842576028</v>
      </c>
      <c r="BO177" s="76">
        <f>MAX(BO13:BO168)/BO172</f>
        <v>0.26948775055679286</v>
      </c>
      <c r="BP177" s="76">
        <f>MAX(BP13:BP168)/BP172</f>
        <v>0.22492836676217765</v>
      </c>
      <c r="BQ177" s="76">
        <f>MAX(BQ13:BQ168)/BQ172</f>
        <v>0.19686800894854586</v>
      </c>
      <c r="BR177" s="76">
        <f>MAX(BR13:BR168)/BR172</f>
        <v>0.2507936507936508</v>
      </c>
      <c r="BS177" s="55">
        <f t="shared" si="48"/>
        <v>0.2381472190973855</v>
      </c>
      <c r="BT177" s="103">
        <f t="shared" si="60"/>
        <v>0.02797925840452818</v>
      </c>
      <c r="BU177" s="76">
        <f>MAX(BU13:BU168)/BU172</f>
        <v>0.20678336980306344</v>
      </c>
      <c r="BV177" s="76">
        <f>MAX(BV13:BV168)/BV172</f>
        <v>0.25680933852140075</v>
      </c>
      <c r="BW177" s="76">
        <f>MAX(BW13:BW168)/BW172</f>
        <v>0.25301204819277107</v>
      </c>
      <c r="BX177" s="76">
        <f>MAX(BX13:BX168)/BX172</f>
        <v>0.16791979949874686</v>
      </c>
      <c r="BY177" s="76">
        <f>MAX(BY13:BY168)/BY172</f>
        <v>0.2624521072796935</v>
      </c>
      <c r="BZ177" s="55">
        <f t="shared" si="49"/>
        <v>0.22939533265913514</v>
      </c>
      <c r="CA177" s="103">
        <f t="shared" si="61"/>
        <v>0.04090406263406414</v>
      </c>
      <c r="CD177" s="76">
        <f>MAX(CD13:CD168)/CD172</f>
        <v>0.28224687933425796</v>
      </c>
      <c r="CE177" s="76">
        <f>MAX(CE13:CE168)/CE172</f>
        <v>0.32275132275132273</v>
      </c>
      <c r="CF177" s="76">
        <f>MAX(CF13:CF168)/CF172</f>
        <v>0.35664335664335667</v>
      </c>
      <c r="CG177" s="76">
        <f>MAX(CG13:CG168)/CG172</f>
        <v>0.19938650306748465</v>
      </c>
      <c r="CH177" s="76">
        <f>MAX(CH13:CH168)/CH172</f>
        <v>0.24842767295597484</v>
      </c>
      <c r="CI177" s="55">
        <f t="shared" si="50"/>
        <v>0.28189114695047934</v>
      </c>
      <c r="CJ177" s="103">
        <f t="shared" si="62"/>
        <v>0.06161248599109861</v>
      </c>
      <c r="CP177" s="66">
        <f>MAX(CP13:CP168)/CP172</f>
        <v>0.2888086642599278</v>
      </c>
      <c r="CQ177" s="66">
        <f>MAX(CQ13:CQ168)/CQ172</f>
        <v>0.3307926829268293</v>
      </c>
      <c r="CR177" s="66">
        <f>MAX(CR13:CR168)/CR172</f>
        <v>0.24311926605504589</v>
      </c>
      <c r="CS177" s="66">
        <f>MAX(CS13:CS168)/CS172</f>
        <v>0.2459016393442623</v>
      </c>
      <c r="CT177" s="66">
        <f>MAX(CT13:CT168)/CT172</f>
        <v>0.23255813953488372</v>
      </c>
      <c r="CU177" s="55">
        <f t="shared" si="63"/>
        <v>0.2682360784241898</v>
      </c>
      <c r="CV177" s="103">
        <f t="shared" si="64"/>
        <v>0.04104618377772576</v>
      </c>
      <c r="CY177" s="66">
        <f>MAX(CY13:CY168)/CY172</f>
        <v>0.27256792287467135</v>
      </c>
      <c r="CZ177" s="66">
        <f>MAX(CZ13:CZ168)/CZ172</f>
        <v>0.15019011406844107</v>
      </c>
      <c r="DA177" s="66">
        <f>MAX(DA13:DA168)/DA172</f>
        <v>0.29528985507246375</v>
      </c>
      <c r="DB177" s="66">
        <f>MAX(DB13:DB168)/DB172</f>
        <v>0.28422876949740034</v>
      </c>
      <c r="DC177" s="66">
        <f>MAX(DC13:DC168)/DC172</f>
        <v>0.20588235294117646</v>
      </c>
      <c r="DD177" s="55">
        <f t="shared" si="65"/>
        <v>0.24163180289083058</v>
      </c>
      <c r="DE177" s="103">
        <f t="shared" si="66"/>
        <v>0.06182705167250065</v>
      </c>
      <c r="DH177" s="66">
        <f>MAX(DH13:DH168)/DH172</f>
        <v>0.5696649029982364</v>
      </c>
      <c r="DI177" s="66">
        <f>MAX(DI13:DI168)/DI172</f>
        <v>0.26807760141093473</v>
      </c>
      <c r="DJ177" s="66">
        <f>MAX(DJ13:DJ168)/DJ172</f>
        <v>0.5896551724137931</v>
      </c>
      <c r="DK177" s="66">
        <f>MAX(DK13:DK168)/DK172</f>
        <v>0.345679012345679</v>
      </c>
      <c r="DL177" s="66">
        <f>MAX(DL13:DL168)/DL172</f>
        <v>0.5387096774193548</v>
      </c>
      <c r="DM177" s="55">
        <f t="shared" si="67"/>
        <v>0.46235727331759957</v>
      </c>
      <c r="DN177" s="103">
        <f t="shared" si="68"/>
        <v>0.14569469758170003</v>
      </c>
      <c r="DQ177" s="66">
        <f>MAX(DQ13:DQ168)/DQ172</f>
        <v>0.30809859154929575</v>
      </c>
      <c r="DR177" s="66">
        <f>MAX(DR13:DR168)/DR172</f>
        <v>0.3064798598949212</v>
      </c>
      <c r="DS177" s="66">
        <f>MAX(DS13:DS168)/DS172</f>
        <v>0.27347611202635913</v>
      </c>
      <c r="DT177" s="66">
        <f>MAX(DT13:DT168)/DT172</f>
        <v>0.5650557620817844</v>
      </c>
      <c r="DU177" s="66">
        <f>MAX(DU13:DU168)/DU172</f>
        <v>0.5610200364298725</v>
      </c>
      <c r="DV177" s="72">
        <f t="shared" si="51"/>
        <v>0.40282607239644663</v>
      </c>
      <c r="DW177" s="103">
        <f t="shared" si="69"/>
        <v>0.14691077480122855</v>
      </c>
      <c r="EA177" s="66">
        <f>MAX(EA13:EA168)/EA172</f>
        <v>0.3977272727272727</v>
      </c>
      <c r="EB177" s="66">
        <f>MAX(EB13:EB168)/EB172</f>
        <v>0.43097014925373134</v>
      </c>
      <c r="EC177" s="66">
        <f>MAX(EC13:EC168)/EC172</f>
        <v>0.31954887218045114</v>
      </c>
      <c r="ED177" s="66">
        <f>MAX(ED13:ED168)/ED172</f>
        <v>0.47842401500938087</v>
      </c>
      <c r="EE177" s="66">
        <f>MAX(EE13:EE168)/EE172</f>
        <v>0.2730496453900709</v>
      </c>
      <c r="EF177" s="55">
        <f t="shared" si="70"/>
        <v>0.3799439909121814</v>
      </c>
      <c r="EG177" s="103">
        <f t="shared" si="71"/>
        <v>0.08320486849430307</v>
      </c>
    </row>
    <row r="178" spans="2:137" ht="12.75">
      <c r="B178" s="54"/>
      <c r="D178" s="53" t="s">
        <v>103</v>
      </c>
      <c r="F178" s="53">
        <f>COUNT(F13:F65)</f>
        <v>14</v>
      </c>
      <c r="G178" s="53">
        <f>COUNT(G13:G65)</f>
        <v>6</v>
      </c>
      <c r="H178" s="53">
        <f>COUNT(H13:H65)</f>
        <v>18</v>
      </c>
      <c r="I178" s="53">
        <f>COUNT(I13:I65)</f>
        <v>18</v>
      </c>
      <c r="J178" s="53">
        <f>COUNT(J13:J65)</f>
        <v>11</v>
      </c>
      <c r="K178" s="55">
        <f>AVERAGE(F178:J178)</f>
        <v>13.4</v>
      </c>
      <c r="L178" s="103">
        <f t="shared" si="52"/>
        <v>5.079370039680119</v>
      </c>
      <c r="M178" s="53">
        <f>COUNT(M13:M65)</f>
        <v>13</v>
      </c>
      <c r="N178" s="53">
        <f>COUNT(N13:N65)</f>
        <v>8</v>
      </c>
      <c r="O178" s="53">
        <f>COUNT(O13:O65)</f>
        <v>10</v>
      </c>
      <c r="P178" s="53">
        <f>COUNT(P13:P65)</f>
        <v>12</v>
      </c>
      <c r="Q178" s="53">
        <f>COUNT(Q13:Q65)</f>
        <v>14</v>
      </c>
      <c r="R178" s="55">
        <f t="shared" si="43"/>
        <v>11.4</v>
      </c>
      <c r="S178" s="103">
        <f t="shared" si="53"/>
        <v>2.4083189157584615</v>
      </c>
      <c r="T178" s="53">
        <f>COUNT(T13:T65)</f>
        <v>9</v>
      </c>
      <c r="U178" s="53">
        <f>COUNT(U13:U65)</f>
        <v>7</v>
      </c>
      <c r="V178" s="53">
        <f>COUNT(V13:V65)</f>
        <v>11</v>
      </c>
      <c r="W178" s="53">
        <f>COUNT(W13:W65)</f>
        <v>13</v>
      </c>
      <c r="X178" s="53">
        <f>COUNT(X13:X65)</f>
        <v>14</v>
      </c>
      <c r="Y178" s="55">
        <f t="shared" si="54"/>
        <v>10.8</v>
      </c>
      <c r="Z178" s="103">
        <f t="shared" si="55"/>
        <v>2.8635642126552687</v>
      </c>
      <c r="AA178" s="53">
        <f>COUNT(AA13:AA65)</f>
        <v>18</v>
      </c>
      <c r="AB178" s="53">
        <f>COUNT(AB13:AB65)</f>
        <v>18</v>
      </c>
      <c r="AC178" s="53">
        <f>COUNT(AC13:AC65)</f>
        <v>17</v>
      </c>
      <c r="AD178" s="53">
        <f>COUNT(AD13:AD65)</f>
        <v>9</v>
      </c>
      <c r="AE178" s="53">
        <f>COUNT(AE13:AE65)</f>
        <v>12</v>
      </c>
      <c r="AF178" s="55">
        <f t="shared" si="44"/>
        <v>14.8</v>
      </c>
      <c r="AG178" s="103">
        <f t="shared" si="56"/>
        <v>4.086563348340508</v>
      </c>
      <c r="AL178" s="53">
        <f>COUNT(AL13:AL65)</f>
        <v>16</v>
      </c>
      <c r="AM178" s="53">
        <f>COUNT(AM13:AM65)</f>
        <v>21</v>
      </c>
      <c r="AN178" s="53">
        <f>COUNT(AN13:AN65)</f>
        <v>18</v>
      </c>
      <c r="AO178" s="53">
        <f>COUNT(AO13:AO65)</f>
        <v>16</v>
      </c>
      <c r="AP178" s="53">
        <f>COUNT(AP13:AP65)</f>
        <v>12</v>
      </c>
      <c r="AQ178" s="55">
        <f t="shared" si="45"/>
        <v>16.6</v>
      </c>
      <c r="AR178" s="103">
        <f t="shared" si="57"/>
        <v>3.2863353450309982</v>
      </c>
      <c r="AS178" s="53">
        <f>COUNT(AS13:AS65)</f>
        <v>18</v>
      </c>
      <c r="AT178" s="53">
        <f>COUNT(AT13:AT65)</f>
        <v>14</v>
      </c>
      <c r="AU178" s="53">
        <f>COUNT(AU13:AU65)</f>
        <v>18</v>
      </c>
      <c r="AV178" s="53">
        <f>COUNT(AV13:AV65)</f>
        <v>13</v>
      </c>
      <c r="AW178" s="53">
        <f>COUNT(AW13:AW65)</f>
        <v>13</v>
      </c>
      <c r="AX178" s="55">
        <f t="shared" si="46"/>
        <v>15.2</v>
      </c>
      <c r="AY178" s="103">
        <f t="shared" si="58"/>
        <v>2.5884358211089546</v>
      </c>
      <c r="BB178" s="53">
        <f>COUNT(BB13:BB65)</f>
        <v>11</v>
      </c>
      <c r="BC178" s="53">
        <f>COUNT(BC13:BC65)</f>
        <v>12</v>
      </c>
      <c r="BD178" s="53">
        <f>COUNT(BD13:BD65)</f>
        <v>16</v>
      </c>
      <c r="BE178" s="53">
        <f>COUNT(BE13:BE65)</f>
        <v>15</v>
      </c>
      <c r="BF178" s="53">
        <f>COUNT(BF13:BF65)</f>
        <v>17</v>
      </c>
      <c r="BG178" s="55">
        <f t="shared" si="47"/>
        <v>14.2</v>
      </c>
      <c r="BH178" s="103">
        <f t="shared" si="59"/>
        <v>2.5884358211089546</v>
      </c>
      <c r="BN178" s="53">
        <f>COUNT(BN13:BN65)</f>
        <v>19</v>
      </c>
      <c r="BO178" s="53">
        <f>COUNT(BO13:BO65)</f>
        <v>15</v>
      </c>
      <c r="BP178" s="53">
        <f>COUNT(BP13:BP65)</f>
        <v>18</v>
      </c>
      <c r="BQ178" s="53">
        <f>COUNT(BQ13:BQ65)</f>
        <v>16</v>
      </c>
      <c r="BR178" s="53">
        <f>COUNT(BR13:BR65)</f>
        <v>14</v>
      </c>
      <c r="BS178" s="55">
        <f t="shared" si="48"/>
        <v>16.4</v>
      </c>
      <c r="BT178" s="103">
        <f t="shared" si="60"/>
        <v>2.073644135332775</v>
      </c>
      <c r="BU178" s="53">
        <f>COUNT(BU13:BU65)</f>
        <v>17</v>
      </c>
      <c r="BV178" s="53">
        <f>COUNT(BV13:BV65)</f>
        <v>16</v>
      </c>
      <c r="BW178" s="53">
        <f>COUNT(BW13:BW65)</f>
        <v>17</v>
      </c>
      <c r="BX178" s="53">
        <f>COUNT(BX13:BX65)</f>
        <v>17</v>
      </c>
      <c r="BY178" s="53">
        <f>COUNT(BY13:BY65)</f>
        <v>17</v>
      </c>
      <c r="BZ178" s="55">
        <f t="shared" si="49"/>
        <v>16.8</v>
      </c>
      <c r="CA178" s="103">
        <f t="shared" si="61"/>
        <v>0.4472135954999452</v>
      </c>
      <c r="CD178" s="53">
        <f>COUNT(CD13:CD65)</f>
        <v>16</v>
      </c>
      <c r="CE178" s="53">
        <f>COUNT(CE13:CE65)</f>
        <v>12</v>
      </c>
      <c r="CF178" s="53">
        <f>COUNT(CF13:CF65)</f>
        <v>11</v>
      </c>
      <c r="CG178" s="53">
        <f>COUNT(CG13:CG65)</f>
        <v>7</v>
      </c>
      <c r="CH178" s="53">
        <f>COUNT(CH13:CH65)</f>
        <v>11</v>
      </c>
      <c r="CI178" s="55">
        <f t="shared" si="50"/>
        <v>11.4</v>
      </c>
      <c r="CJ178" s="103">
        <f t="shared" si="62"/>
        <v>3.2093613071762443</v>
      </c>
      <c r="CP178" s="53">
        <f>COUNT(CP13:CP65)</f>
        <v>8</v>
      </c>
      <c r="CQ178" s="53">
        <f>COUNT(CQ13:CQ65)</f>
        <v>14</v>
      </c>
      <c r="CR178" s="53">
        <f>COUNT(CR13:CR65)</f>
        <v>11</v>
      </c>
      <c r="CS178" s="53">
        <f>COUNT(CS13:CS65)</f>
        <v>16</v>
      </c>
      <c r="CT178" s="53">
        <f>COUNT(CT13:CT65)</f>
        <v>14</v>
      </c>
      <c r="CU178" s="55">
        <f t="shared" si="63"/>
        <v>12.6</v>
      </c>
      <c r="CV178" s="103">
        <f t="shared" si="64"/>
        <v>3.1304951684997073</v>
      </c>
      <c r="CY178" s="53">
        <f>COUNT(CY13:CY65)</f>
        <v>19</v>
      </c>
      <c r="CZ178" s="53">
        <f>COUNT(CZ13:CZ65)</f>
        <v>16</v>
      </c>
      <c r="DA178" s="53">
        <f>COUNT(DA13:DA65)</f>
        <v>14</v>
      </c>
      <c r="DB178" s="53">
        <f>COUNT(DB13:DB65)</f>
        <v>16</v>
      </c>
      <c r="DC178" s="53">
        <f>COUNT(DC13:DC65)</f>
        <v>14</v>
      </c>
      <c r="DD178" s="55">
        <f t="shared" si="65"/>
        <v>15.8</v>
      </c>
      <c r="DE178" s="103">
        <f t="shared" si="66"/>
        <v>2.0493901531919168</v>
      </c>
      <c r="DH178" s="53">
        <f>COUNT(DH13:DH65)</f>
        <v>15</v>
      </c>
      <c r="DI178" s="53">
        <f>COUNT(DI13:DI65)</f>
        <v>17</v>
      </c>
      <c r="DJ178" s="53">
        <f>COUNT(DJ13:DJ65)</f>
        <v>15</v>
      </c>
      <c r="DK178" s="53">
        <f>COUNT(DK13:DK65)</f>
        <v>15</v>
      </c>
      <c r="DL178" s="53">
        <f>COUNT(DL13:DL65)</f>
        <v>15</v>
      </c>
      <c r="DM178" s="55">
        <f t="shared" si="67"/>
        <v>15.4</v>
      </c>
      <c r="DN178" s="103">
        <f t="shared" si="68"/>
        <v>0.8944271909999222</v>
      </c>
      <c r="DQ178" s="53">
        <f>COUNT(DQ13:DQ65)</f>
        <v>9</v>
      </c>
      <c r="DR178" s="53">
        <f>COUNT(DR13:DR65)</f>
        <v>14</v>
      </c>
      <c r="DS178" s="53">
        <f>COUNT(DS13:DS65)</f>
        <v>13</v>
      </c>
      <c r="DT178" s="53">
        <f>COUNT(DT13:DT65)</f>
        <v>13</v>
      </c>
      <c r="DU178" s="53">
        <f>COUNT(DU13:DU65)</f>
        <v>15</v>
      </c>
      <c r="DV178" s="72">
        <f t="shared" si="51"/>
        <v>12.8</v>
      </c>
      <c r="DW178" s="103">
        <f t="shared" si="69"/>
        <v>2.2803508501982734</v>
      </c>
      <c r="EA178" s="53">
        <f>COUNT(EA13:EA65)</f>
        <v>12</v>
      </c>
      <c r="EB178" s="53">
        <f>COUNT(EB13:EB65)</f>
        <v>17</v>
      </c>
      <c r="EC178" s="53">
        <f>COUNT(EC13:EC65)</f>
        <v>17</v>
      </c>
      <c r="ED178" s="53">
        <f>COUNT(ED13:ED65)</f>
        <v>12</v>
      </c>
      <c r="EE178" s="53">
        <f>COUNT(EE13:EE65)</f>
        <v>16</v>
      </c>
      <c r="EF178" s="55">
        <f t="shared" si="70"/>
        <v>14.8</v>
      </c>
      <c r="EG178" s="103">
        <f t="shared" si="71"/>
        <v>2.5884358211089546</v>
      </c>
    </row>
    <row r="179" spans="2:137" ht="12.75">
      <c r="B179" s="54"/>
      <c r="D179" s="53" t="s">
        <v>357</v>
      </c>
      <c r="F179" s="76">
        <f>SUM(F13:F65)/F172</f>
        <v>0.9327024185068349</v>
      </c>
      <c r="G179" s="76">
        <f>SUM(G13:G65)/G172</f>
        <v>0.9379310344827586</v>
      </c>
      <c r="H179" s="76">
        <f>SUM(H13:H65)/H172</f>
        <v>0.9583892617449664</v>
      </c>
      <c r="I179" s="76">
        <f>SUM(I13:I65)/I172</f>
        <v>0.8661016949152542</v>
      </c>
      <c r="J179" s="76">
        <f>SUM(J13:J65)/J172</f>
        <v>0.7662921348314606</v>
      </c>
      <c r="K179" s="55">
        <f>AVERAGE(F179:J179)</f>
        <v>0.892283308896255</v>
      </c>
      <c r="L179" s="103">
        <f t="shared" si="52"/>
        <v>0.07849628833238616</v>
      </c>
      <c r="M179" s="76">
        <f>SUM(M13:M65)/M172</f>
        <v>0.7683881064162754</v>
      </c>
      <c r="N179" s="76">
        <f>SUM(N13:N65)/N172</f>
        <v>0.7220708446866485</v>
      </c>
      <c r="O179" s="76">
        <f>SUM(O13:O65)/O172</f>
        <v>0.5882352941176471</v>
      </c>
      <c r="P179" s="76">
        <f>SUM(P13:P65)/P172</f>
        <v>0.3768768768768769</v>
      </c>
      <c r="Q179" s="76">
        <f>SUM(Q13:Q65)/Q172</f>
        <v>0.7647058823529411</v>
      </c>
      <c r="R179" s="55">
        <f t="shared" si="43"/>
        <v>0.6440554008900777</v>
      </c>
      <c r="S179" s="103">
        <f t="shared" si="53"/>
        <v>0.16628425799321692</v>
      </c>
      <c r="T179" s="76">
        <f>SUM(T13:T65)/T172</f>
        <v>0.23129251700680273</v>
      </c>
      <c r="U179" s="76">
        <f>SUM(U13:U65)/U172</f>
        <v>0.14183123877917414</v>
      </c>
      <c r="V179" s="76">
        <f>SUM(V13:V65)/V172</f>
        <v>0.2720306513409962</v>
      </c>
      <c r="W179" s="76">
        <f>SUM(W13:W65)/W172</f>
        <v>0.1750291715285881</v>
      </c>
      <c r="X179" s="76">
        <f>SUM(X13:X65)/X172</f>
        <v>0.6092814371257484</v>
      </c>
      <c r="Y179" s="55">
        <f t="shared" si="54"/>
        <v>0.2858930031562619</v>
      </c>
      <c r="Z179" s="103">
        <f t="shared" si="55"/>
        <v>0.18761532335436595</v>
      </c>
      <c r="AA179" s="76">
        <f>SUM(AA13:AA65)/AA172</f>
        <v>0.5235148514851485</v>
      </c>
      <c r="AB179" s="76">
        <f>SUM(AB13:AB65)/AB172</f>
        <v>0.688622754491018</v>
      </c>
      <c r="AC179" s="76">
        <f>SUM(AC13:AC65)/AC172</f>
        <v>0.5369458128078818</v>
      </c>
      <c r="AD179" s="76">
        <f>SUM(AD13:AD65)/AD172</f>
        <v>0.5297113752122241</v>
      </c>
      <c r="AE179" s="76">
        <f>SUM(AE13:AE65)/AE172</f>
        <v>0.6331521739130435</v>
      </c>
      <c r="AF179" s="55">
        <f t="shared" si="44"/>
        <v>0.5823893935818631</v>
      </c>
      <c r="AG179" s="103">
        <f t="shared" si="56"/>
        <v>0.07444577086211447</v>
      </c>
      <c r="AL179" s="76">
        <f>SUM(AL13:AL65)/AL172</f>
        <v>0.6366279069767442</v>
      </c>
      <c r="AM179" s="76">
        <f>SUM(AM13:AM65)/AM172</f>
        <v>0.6345381526104418</v>
      </c>
      <c r="AN179" s="76">
        <f>SUM(AN13:AN65)/AN172</f>
        <v>0.7351694915254238</v>
      </c>
      <c r="AO179" s="76">
        <f>SUM(AO13:AO65)/AO172</f>
        <v>0.5925925925925926</v>
      </c>
      <c r="AP179" s="76">
        <f>SUM(AP13:AP65)/AP172</f>
        <v>0.3387096774193548</v>
      </c>
      <c r="AQ179" s="55">
        <f t="shared" si="45"/>
        <v>0.5875275642249115</v>
      </c>
      <c r="AR179" s="103">
        <f t="shared" si="57"/>
        <v>0.14862282217282352</v>
      </c>
      <c r="AS179" s="76">
        <f>SUM(AS13:AS65)/AS172</f>
        <v>0.49745331069609505</v>
      </c>
      <c r="AT179" s="76">
        <f>SUM(AT13:AT65)/AT172</f>
        <v>0.4433198380566802</v>
      </c>
      <c r="AU179" s="76">
        <f>SUM(AU13:AU65)/AU172</f>
        <v>0.6393210749646393</v>
      </c>
      <c r="AV179" s="76">
        <f>SUM(AV13:AV65)/AV172</f>
        <v>0.2159090909090909</v>
      </c>
      <c r="AW179" s="76">
        <f>SUM(AW13:AW65)/AW172</f>
        <v>0.6607142857142857</v>
      </c>
      <c r="AX179" s="55">
        <f t="shared" si="46"/>
        <v>0.49134352006815823</v>
      </c>
      <c r="AY179" s="103">
        <f t="shared" si="58"/>
        <v>0.17943769207606192</v>
      </c>
      <c r="BB179" s="76">
        <f>SUM(BB13:BB65)/BB172</f>
        <v>0.17411402157164868</v>
      </c>
      <c r="BC179" s="76">
        <f>SUM(BC13:BC65)/BC172</f>
        <v>0.4017241379310345</v>
      </c>
      <c r="BD179" s="76">
        <f>SUM(BD13:BD65)/BD172</f>
        <v>0.7973977695167286</v>
      </c>
      <c r="BE179" s="76">
        <f>SUM(BE13:BE65)/BE172</f>
        <v>0.5811965811965812</v>
      </c>
      <c r="BF179" s="76">
        <f>SUM(BF13:BF65)/BF172</f>
        <v>0.45323741007194246</v>
      </c>
      <c r="BG179" s="55">
        <f t="shared" si="47"/>
        <v>0.48153398405758707</v>
      </c>
      <c r="BH179" s="103">
        <f t="shared" si="59"/>
        <v>0.22988035214323604</v>
      </c>
      <c r="BN179" s="76">
        <f>SUM(BN13:BN65)/BN172</f>
        <v>0.6538461538461539</v>
      </c>
      <c r="BO179" s="76">
        <f>SUM(BO13:BO65)/BO172</f>
        <v>0.621380846325167</v>
      </c>
      <c r="BP179" s="76">
        <f>SUM(BP13:BP65)/BP172</f>
        <v>0.5472779369627507</v>
      </c>
      <c r="BQ179" s="76">
        <f>SUM(BQ13:BQ65)/BQ172</f>
        <v>0.5794183445190156</v>
      </c>
      <c r="BR179" s="76">
        <f>SUM(BR13:BR65)/BR172</f>
        <v>0.5301587301587302</v>
      </c>
      <c r="BS179" s="55">
        <f t="shared" si="48"/>
        <v>0.5864164023623635</v>
      </c>
      <c r="BT179" s="103">
        <f t="shared" si="60"/>
        <v>0.05127134115658806</v>
      </c>
      <c r="BU179" s="76">
        <f>SUM(BU13:BU65)/BU172</f>
        <v>0.6312910284463895</v>
      </c>
      <c r="BV179" s="76">
        <f>SUM(BV13:BV65)/BV172</f>
        <v>0.642023346303502</v>
      </c>
      <c r="BW179" s="76">
        <f>SUM(BW13:BW65)/BW172</f>
        <v>0.6712564543889845</v>
      </c>
      <c r="BX179" s="76">
        <f>SUM(BX13:BX65)/BX172</f>
        <v>0.543859649122807</v>
      </c>
      <c r="BY179" s="76">
        <f>SUM(BY13:BY65)/BY172</f>
        <v>0.7049808429118773</v>
      </c>
      <c r="BZ179" s="55">
        <f t="shared" si="49"/>
        <v>0.6386822642347122</v>
      </c>
      <c r="CA179" s="103">
        <f t="shared" si="61"/>
        <v>0.06023641118822491</v>
      </c>
      <c r="CD179" s="76">
        <f>SUM(CD13:CD65)/CD172</f>
        <v>0.26629680998613037</v>
      </c>
      <c r="CE179" s="76">
        <f>SUM(CE13:CE65)/CE172</f>
        <v>0.2566137566137566</v>
      </c>
      <c r="CF179" s="76">
        <f>SUM(CF13:CF65)/CF172</f>
        <v>0.30244755244755245</v>
      </c>
      <c r="CG179" s="76">
        <f>SUM(CG13:CG65)/CG172</f>
        <v>0.31901840490797545</v>
      </c>
      <c r="CH179" s="76">
        <f>SUM(CH13:CH65)/CH172</f>
        <v>0.20754716981132076</v>
      </c>
      <c r="CI179" s="55">
        <f t="shared" si="50"/>
        <v>0.2703847387533471</v>
      </c>
      <c r="CJ179" s="103">
        <f t="shared" si="62"/>
        <v>0.04344009866145524</v>
      </c>
      <c r="CP179" s="66">
        <f>100*SUM(CP13:CP65)/CP172</f>
        <v>14.620938628158845</v>
      </c>
      <c r="CQ179" s="66">
        <f>100*SUM(CQ13:CQ65)/CQ172</f>
        <v>27.896341463414632</v>
      </c>
      <c r="CR179" s="66">
        <f>100*SUM(CR13:CR65)/CR172</f>
        <v>22.01834862385321</v>
      </c>
      <c r="CS179" s="66">
        <f>100*SUM(CS13:CS65)/CS172</f>
        <v>34.26229508196721</v>
      </c>
      <c r="CT179" s="66">
        <f>100*SUM(CT13:CT65)/CT172</f>
        <v>35.27131782945737</v>
      </c>
      <c r="CU179" s="55">
        <f t="shared" si="63"/>
        <v>26.81384832537025</v>
      </c>
      <c r="CV179" s="103">
        <f t="shared" si="64"/>
        <v>8.657999266053606</v>
      </c>
      <c r="CY179" s="66">
        <f>100*SUM(CY13:CY65)/CY172</f>
        <v>57.49342681858019</v>
      </c>
      <c r="CZ179" s="66">
        <f>100*SUM(CZ13:CZ65)/CZ172</f>
        <v>42.77566539923954</v>
      </c>
      <c r="DA179" s="66">
        <f>100*SUM(DA13:DA65)/DA172</f>
        <v>24.63768115942029</v>
      </c>
      <c r="DB179" s="66">
        <f>100*SUM(DB13:DB65)/DB172</f>
        <v>44.0207972270364</v>
      </c>
      <c r="DC179" s="66">
        <f>100*SUM(DC13:DC65)/DC172</f>
        <v>30.804953560371516</v>
      </c>
      <c r="DD179" s="55">
        <f t="shared" si="65"/>
        <v>39.94650483292959</v>
      </c>
      <c r="DE179" s="103">
        <f t="shared" si="66"/>
        <v>12.751730481865527</v>
      </c>
      <c r="DH179" s="66">
        <f>100*SUM(DH13:DH65)/DH172</f>
        <v>28.747795414462082</v>
      </c>
      <c r="DI179" s="66">
        <f>100*SUM(DI13:DI65)/DI172</f>
        <v>48.148148148148145</v>
      </c>
      <c r="DJ179" s="66">
        <f>100*SUM(DJ13:DJ65)/DJ172</f>
        <v>17.93103448275862</v>
      </c>
      <c r="DK179" s="66">
        <f>100*SUM(DK13:DK65)/DK172</f>
        <v>42.151675485008816</v>
      </c>
      <c r="DL179" s="66">
        <f>100*SUM(DL13:DL65)/DL172</f>
        <v>15.806451612903226</v>
      </c>
      <c r="DM179" s="55">
        <f t="shared" si="67"/>
        <v>30.55702102865618</v>
      </c>
      <c r="DN179" s="103">
        <f t="shared" si="68"/>
        <v>14.354022928830185</v>
      </c>
      <c r="DQ179" s="66">
        <f>100*SUM(DQ13:DQ65)/DQ172</f>
        <v>7.746478873239437</v>
      </c>
      <c r="DR179" s="66">
        <f>100*SUM(DR13:DR65)/DR172</f>
        <v>12.609457092819614</v>
      </c>
      <c r="DS179" s="66">
        <f>100*SUM(DS13:DS65)/DS172</f>
        <v>14.168039538714991</v>
      </c>
      <c r="DT179" s="66">
        <f>100*SUM(DT13:DT65)/DT172</f>
        <v>11.71003717472119</v>
      </c>
      <c r="DU179" s="66">
        <f>100*SUM(DU13:DU65)/DU172</f>
        <v>23.67941712204007</v>
      </c>
      <c r="DV179" s="72">
        <f t="shared" si="51"/>
        <v>13.98268596030706</v>
      </c>
      <c r="DW179" s="103">
        <f t="shared" si="69"/>
        <v>5.916120350995892</v>
      </c>
      <c r="EA179" s="66">
        <f>100*SUM(EA13:EA65)/EA172</f>
        <v>13.257575757575758</v>
      </c>
      <c r="EB179" s="66">
        <f>100*SUM(EB13:EB65)/EB172</f>
        <v>20.708955223880597</v>
      </c>
      <c r="EC179" s="66">
        <f>100*SUM(EC13:EC65)/EC172</f>
        <v>19.360902255639097</v>
      </c>
      <c r="ED179" s="66">
        <f>100*SUM(ED13:ED65)/ED172</f>
        <v>14.821763602251407</v>
      </c>
      <c r="EE179" s="66">
        <f>100*SUM(EE13:EE65)/EE172</f>
        <v>43.43971631205674</v>
      </c>
      <c r="EF179" s="55">
        <f t="shared" si="70"/>
        <v>22.31778263028072</v>
      </c>
      <c r="EG179" s="103">
        <f t="shared" si="71"/>
        <v>12.203946077761657</v>
      </c>
    </row>
    <row r="180" spans="2:137" ht="12.75">
      <c r="B180" s="54"/>
      <c r="D180" s="53" t="s">
        <v>358</v>
      </c>
      <c r="F180" s="76">
        <f>COUNT(F13:F65)/F173</f>
        <v>0.5185185185185185</v>
      </c>
      <c r="G180" s="76">
        <f>COUNT(G13:G65)/G173</f>
        <v>0.42857142857142855</v>
      </c>
      <c r="H180" s="76">
        <f>COUNT(H13:H65)/H173</f>
        <v>0.5</v>
      </c>
      <c r="I180" s="76">
        <f>COUNT(I13:I65)/I173</f>
        <v>0.5142857142857142</v>
      </c>
      <c r="J180" s="76">
        <f>COUNT(J13:J65)/J173</f>
        <v>0.4782608695652174</v>
      </c>
      <c r="K180" s="55"/>
      <c r="L180" s="103">
        <f t="shared" si="52"/>
        <v>0.03671817700332697</v>
      </c>
      <c r="M180" s="76">
        <f>COUNT(M13:M65)/M173</f>
        <v>0.48148148148148145</v>
      </c>
      <c r="N180" s="76">
        <f>COUNT(N13:N65)/N173</f>
        <v>0.42105263157894735</v>
      </c>
      <c r="O180" s="76">
        <f>COUNT(O13:O65)/O173</f>
        <v>0.45454545454545453</v>
      </c>
      <c r="P180" s="76">
        <f>COUNT(P13:P65)/P173</f>
        <v>0.46153846153846156</v>
      </c>
      <c r="Q180" s="76">
        <f>COUNT(Q13:Q65)/Q173</f>
        <v>0.5</v>
      </c>
      <c r="R180" s="55"/>
      <c r="S180" s="103">
        <f t="shared" si="53"/>
        <v>0.029753757249048555</v>
      </c>
      <c r="T180" s="76">
        <f>COUNT(T13:T65)/T173</f>
        <v>0.2903225806451613</v>
      </c>
      <c r="U180" s="76">
        <f>COUNT(U13:U65)/U173</f>
        <v>0.21875</v>
      </c>
      <c r="V180" s="76">
        <f>COUNT(V13:V65)/V173</f>
        <v>0.3548387096774194</v>
      </c>
      <c r="W180" s="76">
        <f>COUNT(W13:W65)/W173</f>
        <v>0.30952380952380953</v>
      </c>
      <c r="X180" s="76">
        <f>COUNT(X13:X65)/X173</f>
        <v>0.3888888888888889</v>
      </c>
      <c r="Y180" s="55"/>
      <c r="Z180" s="103">
        <f t="shared" si="55"/>
        <v>0.06503380010776254</v>
      </c>
      <c r="AA180" s="76">
        <f>COUNT(AA13:AA65)/AA173</f>
        <v>0.42857142857142855</v>
      </c>
      <c r="AB180" s="76">
        <f>COUNT(AB13:AB65)/AB173</f>
        <v>0.45</v>
      </c>
      <c r="AC180" s="76">
        <f>COUNT(AC13:AC65)/AC173</f>
        <v>0.425</v>
      </c>
      <c r="AD180" s="76">
        <f>COUNT(AD13:AD65)/AD173</f>
        <v>0.2727272727272727</v>
      </c>
      <c r="AE180" s="76">
        <f>COUNT(AE13:AE65)/AE173</f>
        <v>0.3870967741935484</v>
      </c>
      <c r="AF180" s="55"/>
      <c r="AG180" s="103">
        <f t="shared" si="56"/>
        <v>0.07077815452414436</v>
      </c>
      <c r="AL180" s="76">
        <f>COUNT(AL13:AL65)/AL173</f>
        <v>0.4</v>
      </c>
      <c r="AM180" s="76">
        <f>COUNT(AM13:AM65)/AM173</f>
        <v>0.45652173913043476</v>
      </c>
      <c r="AN180" s="76">
        <f>COUNT(AN13:AN65)/AN173</f>
        <v>0.4</v>
      </c>
      <c r="AO180" s="76">
        <f>COUNT(AO13:AO65)/AO173</f>
        <v>0.48484848484848486</v>
      </c>
      <c r="AP180" s="76">
        <f>COUNT(AP13:AP65)/AP173</f>
        <v>0.41379310344827586</v>
      </c>
      <c r="AQ180" s="55">
        <f t="shared" si="45"/>
        <v>0.4310326654854391</v>
      </c>
      <c r="AR180" s="103">
        <f t="shared" si="57"/>
        <v>0.03797726439098635</v>
      </c>
      <c r="AS180" s="76">
        <f>COUNT(AS13:AS65)/AS173</f>
        <v>0.391304347826087</v>
      </c>
      <c r="AT180" s="76">
        <f>COUNT(AT13:AT65)/AT173</f>
        <v>0.32558139534883723</v>
      </c>
      <c r="AU180" s="76">
        <f>COUNT(AU13:AU65)/AU173</f>
        <v>0.34615384615384615</v>
      </c>
      <c r="AV180" s="76">
        <f>COUNT(AV13:AV65)/AV173</f>
        <v>0.3611111111111111</v>
      </c>
      <c r="AW180" s="76">
        <f>COUNT(AW13:AW65)/AW173</f>
        <v>0.3611111111111111</v>
      </c>
      <c r="AX180" s="55">
        <f t="shared" si="46"/>
        <v>0.35705236231019855</v>
      </c>
      <c r="AY180" s="103">
        <f t="shared" si="58"/>
        <v>0.02405901500130229</v>
      </c>
      <c r="BB180" s="76">
        <f>COUNT(BB13:BB65)/BB173</f>
        <v>0.2972972972972973</v>
      </c>
      <c r="BC180" s="76">
        <f>COUNT(BC13:BC65)/BC173</f>
        <v>0.3076923076923077</v>
      </c>
      <c r="BD180" s="76">
        <f>COUNT(BD13:BD65)/BD173</f>
        <v>0.45714285714285713</v>
      </c>
      <c r="BE180" s="76">
        <f>COUNT(BE13:BE65)/BE173</f>
        <v>0.3488372093023256</v>
      </c>
      <c r="BF180" s="76">
        <f>COUNT(BF13:BF65)/BF173</f>
        <v>0.3469387755102041</v>
      </c>
      <c r="BG180" s="55">
        <f t="shared" si="47"/>
        <v>0.35158168938899836</v>
      </c>
      <c r="BH180" s="103">
        <f t="shared" si="59"/>
        <v>0.06333506534352375</v>
      </c>
      <c r="BN180" s="76">
        <f>COUNT(BN13:BN65)/BN173</f>
        <v>0.4418604651162791</v>
      </c>
      <c r="BO180" s="76">
        <f>COUNT(BO13:BO65)/BO173</f>
        <v>0.42857142857142855</v>
      </c>
      <c r="BP180" s="76">
        <f>COUNT(BP13:BP65)/BP173</f>
        <v>0.4090909090909091</v>
      </c>
      <c r="BQ180" s="76">
        <f>COUNT(BQ13:BQ65)/BQ173</f>
        <v>0.41025641025641024</v>
      </c>
      <c r="BR180" s="76">
        <f>COUNT(BR13:BR65)/BR173</f>
        <v>0.4</v>
      </c>
      <c r="BS180" s="55">
        <f t="shared" si="48"/>
        <v>0.4179558426070054</v>
      </c>
      <c r="BT180" s="103">
        <f t="shared" si="60"/>
        <v>0.016914507317482525</v>
      </c>
      <c r="BU180" s="76">
        <f>COUNT(BU13:BU65)/BU173</f>
        <v>0.32075471698113206</v>
      </c>
      <c r="BV180" s="76">
        <f>COUNT(BV13:BV65)/BV173</f>
        <v>0.38095238095238093</v>
      </c>
      <c r="BW180" s="76">
        <f>COUNT(BW13:BW65)/BW173</f>
        <v>0.3617021276595745</v>
      </c>
      <c r="BX180" s="76">
        <f>COUNT(BX13:BX65)/BX173</f>
        <v>0.3541666666666667</v>
      </c>
      <c r="BY180" s="76">
        <f>COUNT(BY13:BY65)/BY173</f>
        <v>0.37777777777777777</v>
      </c>
      <c r="BZ180" s="55">
        <f t="shared" si="49"/>
        <v>0.3590707340075064</v>
      </c>
      <c r="CA180" s="103">
        <f t="shared" si="61"/>
        <v>0.024123905309070562</v>
      </c>
      <c r="CD180" s="76">
        <f>COUNT(CD13:CD65)/CD173</f>
        <v>0.38095238095238093</v>
      </c>
      <c r="CE180" s="76">
        <f>COUNT(CE13:CE65)/CE173</f>
        <v>0.36363636363636365</v>
      </c>
      <c r="CF180" s="76">
        <f>COUNT(CF13:CF65)/CF173</f>
        <v>0.3548387096774194</v>
      </c>
      <c r="CG180" s="76">
        <f>COUNT(CG13:CG65)/CG173</f>
        <v>0.2916666666666667</v>
      </c>
      <c r="CH180" s="76">
        <f>COUNT(CH13:CH65)/CH173</f>
        <v>0.275</v>
      </c>
      <c r="CI180" s="55">
        <f t="shared" si="50"/>
        <v>0.3332188241865661</v>
      </c>
      <c r="CJ180" s="103">
        <f t="shared" si="62"/>
        <v>0.046869904737896005</v>
      </c>
      <c r="CP180" s="66">
        <f>100*COUNT(CP13:CP65)/CP173</f>
        <v>32</v>
      </c>
      <c r="CQ180" s="66">
        <f>100*COUNT(CQ13:CQ65)/CQ173</f>
        <v>43.75</v>
      </c>
      <c r="CR180" s="66">
        <f>100*COUNT(CR13:CR65)/CR173</f>
        <v>30.555555555555557</v>
      </c>
      <c r="CS180" s="66">
        <f>100*COUNT(CS13:CS65)/CS173</f>
        <v>47.05882352941177</v>
      </c>
      <c r="CT180" s="66">
        <f>100*COUNT(CT13:CT65)/CT173</f>
        <v>38.888888888888886</v>
      </c>
      <c r="CU180" s="55">
        <f t="shared" si="63"/>
        <v>38.45065359477124</v>
      </c>
      <c r="CV180" s="103">
        <f t="shared" si="64"/>
        <v>7.181908119849401</v>
      </c>
      <c r="CY180" s="66">
        <f>100*COUNT(CY13:CY65)/CY173</f>
        <v>43.18181818181818</v>
      </c>
      <c r="CZ180" s="66">
        <f>100*COUNT(CZ13:CZ65)/CZ173</f>
        <v>45.714285714285715</v>
      </c>
      <c r="DA180" s="66">
        <f>100*COUNT(DA13:DA65)/DA173</f>
        <v>41.1764705882353</v>
      </c>
      <c r="DB180" s="66">
        <f>100*COUNT(DB13:DB65)/DB173</f>
        <v>40</v>
      </c>
      <c r="DC180" s="66">
        <f>100*COUNT(DC13:DC65)/DC173</f>
        <v>36.8421052631579</v>
      </c>
      <c r="DD180" s="55">
        <f t="shared" si="65"/>
        <v>41.38293594949941</v>
      </c>
      <c r="DE180" s="103">
        <f t="shared" si="66"/>
        <v>3.338070220146311</v>
      </c>
      <c r="DH180" s="66">
        <f>100*COUNT(DH13:DH65)/DH173</f>
        <v>46.875</v>
      </c>
      <c r="DI180" s="66">
        <f>100*COUNT(DI13:DI65)/DI173</f>
        <v>40.476190476190474</v>
      </c>
      <c r="DJ180" s="66">
        <f>100*COUNT(DJ13:DJ65)/DJ173</f>
        <v>41.666666666666664</v>
      </c>
      <c r="DK180" s="66">
        <f>100*COUNT(DK13:DK65)/DK173</f>
        <v>40.54054054054054</v>
      </c>
      <c r="DL180" s="66">
        <f>100*COUNT(DL13:DL65)/DL173</f>
        <v>41.666666666666664</v>
      </c>
      <c r="DM180" s="55">
        <f t="shared" si="67"/>
        <v>42.24501287001287</v>
      </c>
      <c r="DN180" s="103">
        <f t="shared" si="68"/>
        <v>2.6523436838257757</v>
      </c>
      <c r="DQ180" s="66">
        <f>100*COUNT(DQ13:DQ65)/DQ173</f>
        <v>28.125</v>
      </c>
      <c r="DR180" s="66">
        <f>100*COUNT(DR13:DR65)/DR173</f>
        <v>43.75</v>
      </c>
      <c r="DS180" s="66">
        <f>100*COUNT(DS13:DS65)/DS173</f>
        <v>38.23529411764706</v>
      </c>
      <c r="DT180" s="66">
        <f>100*COUNT(DT13:DT65)/DT173</f>
        <v>40.625</v>
      </c>
      <c r="DU180" s="66">
        <f>100*COUNT(DU13:DU65)/DU173</f>
        <v>42.857142857142854</v>
      </c>
      <c r="DV180" s="72">
        <f t="shared" si="51"/>
        <v>38.71848739495799</v>
      </c>
      <c r="DW180" s="103">
        <f t="shared" si="69"/>
        <v>6.2955307435696595</v>
      </c>
      <c r="EA180" s="66">
        <f>100*COUNT(EA13:EA65)/EA173</f>
        <v>33.333333333333336</v>
      </c>
      <c r="EB180" s="66">
        <f>100*COUNT(EB13:EB65)/EB173</f>
        <v>39.53488372093023</v>
      </c>
      <c r="EC180" s="66">
        <f>100*COUNT(EC13:EC65)/EC173</f>
        <v>39.53488372093023</v>
      </c>
      <c r="ED180" s="66">
        <f>100*COUNT(ED13:ED65)/ED173</f>
        <v>36.36363636363637</v>
      </c>
      <c r="EE180" s="66">
        <f>100*COUNT(EE13:EE65)/EE173</f>
        <v>38.095238095238095</v>
      </c>
      <c r="EF180" s="55">
        <f t="shared" si="70"/>
        <v>37.37239504681365</v>
      </c>
      <c r="EG180" s="103">
        <f t="shared" si="71"/>
        <v>2.608008349785755</v>
      </c>
    </row>
    <row r="181" spans="2:137" ht="12.75">
      <c r="B181" s="54"/>
      <c r="D181" s="53" t="s">
        <v>104</v>
      </c>
      <c r="F181" s="76">
        <f>SUM(F94:F142)/F172</f>
        <v>0.010515247108307046</v>
      </c>
      <c r="G181" s="76">
        <f>SUM(G94:G142)/G172</f>
        <v>0.034482758620689655</v>
      </c>
      <c r="H181" s="76">
        <f>SUM(H94:H142)/H172</f>
        <v>0.015436241610738255</v>
      </c>
      <c r="I181" s="76">
        <f>SUM(I94:I142)/I172</f>
        <v>0.08135593220338982</v>
      </c>
      <c r="J181" s="76">
        <f>SUM(J94:J142)/J172</f>
        <v>0.2157303370786517</v>
      </c>
      <c r="K181" s="98">
        <f>AVERAGE(F181:J181)</f>
        <v>0.07150410332435529</v>
      </c>
      <c r="L181" s="103">
        <f t="shared" si="52"/>
        <v>0.08534062733914814</v>
      </c>
      <c r="M181" s="76">
        <f>SUM(M94:M142)/M172</f>
        <v>0.2112676056338028</v>
      </c>
      <c r="N181" s="76">
        <f>SUM(N94:N142)/N172</f>
        <v>0.24795640326975477</v>
      </c>
      <c r="O181" s="76">
        <f>SUM(O94:O142)/O172</f>
        <v>0.3889943074003795</v>
      </c>
      <c r="P181" s="76">
        <f>SUM(P94:P142)/P172</f>
        <v>0.6096096096096096</v>
      </c>
      <c r="Q181" s="76">
        <f>SUM(Q94:Q142)/Q172</f>
        <v>0.19607843137254902</v>
      </c>
      <c r="R181" s="55">
        <f t="shared" si="43"/>
        <v>0.33078127145721914</v>
      </c>
      <c r="S181" s="103">
        <f t="shared" si="53"/>
        <v>0.17350960344188582</v>
      </c>
      <c r="T181" s="76">
        <f>SUM(T94:T142)/T172</f>
        <v>0.673469387755102</v>
      </c>
      <c r="U181" s="76">
        <f>SUM(U94:U142)/U172</f>
        <v>0.7666068222621185</v>
      </c>
      <c r="V181" s="76">
        <f>SUM(V94:V142)/V172</f>
        <v>0.6360153256704981</v>
      </c>
      <c r="W181" s="76">
        <f>SUM(W94:W142)/W172</f>
        <v>0.7397899649941657</v>
      </c>
      <c r="X181" s="76">
        <f>SUM(X94:X142)/X172</f>
        <v>0.2155688622754491</v>
      </c>
      <c r="Y181" s="55">
        <f t="shared" si="54"/>
        <v>0.6062900725914667</v>
      </c>
      <c r="Z181" s="103">
        <f t="shared" si="55"/>
        <v>0.22449019841842546</v>
      </c>
      <c r="AA181" s="76">
        <f>SUM(AA94:AA142)/AA172</f>
        <v>0.37376237623762376</v>
      </c>
      <c r="AB181" s="76">
        <f>SUM(AB94:AB142)/AB172</f>
        <v>0.1497005988023952</v>
      </c>
      <c r="AC181" s="76">
        <f>SUM(AC94:AC142)/AC172</f>
        <v>0.29064039408866993</v>
      </c>
      <c r="AD181" s="76">
        <f>SUM(AD94:AD142)/AD172</f>
        <v>0.3548387096774194</v>
      </c>
      <c r="AE181" s="76">
        <f>SUM(AE94:AE142)/AE172</f>
        <v>0.26902173913043476</v>
      </c>
      <c r="AF181" s="55">
        <f t="shared" si="44"/>
        <v>0.2875927635873086</v>
      </c>
      <c r="AG181" s="103">
        <f t="shared" si="56"/>
        <v>0.08848112725318848</v>
      </c>
      <c r="AL181" s="76">
        <f>SUM(AL94:AL142)/AL172</f>
        <v>0.24563953488372092</v>
      </c>
      <c r="AM181" s="76">
        <f>SUM(AM94:AM142)/AM172</f>
        <v>0.2289156626506024</v>
      </c>
      <c r="AN181" s="76">
        <f>SUM(AN94:AN142)/AN172</f>
        <v>0.16101694915254236</v>
      </c>
      <c r="AO181" s="76">
        <f>SUM(AO94:AO142)/AO172</f>
        <v>0.3164983164983165</v>
      </c>
      <c r="AP181" s="76">
        <f>SUM(AP94:AP142)/AP172</f>
        <v>0.5080645161290323</v>
      </c>
      <c r="AQ181" s="55">
        <f t="shared" si="45"/>
        <v>0.29202699586284286</v>
      </c>
      <c r="AR181" s="103">
        <f t="shared" si="57"/>
        <v>0.13282462587125873</v>
      </c>
      <c r="AS181" s="76">
        <f>SUM(AS94:AS142)/AS172</f>
        <v>0.3701188455008489</v>
      </c>
      <c r="AT181" s="76">
        <f>SUM(AT94:AT142)/AT172</f>
        <v>0.4777327935222672</v>
      </c>
      <c r="AU181" s="76">
        <f>SUM(AU94:AU142)/AU172</f>
        <v>0.272984441301273</v>
      </c>
      <c r="AV181" s="76">
        <f>SUM(AV94:AV142)/AV172</f>
        <v>0.6704545454545454</v>
      </c>
      <c r="AW181" s="76">
        <f>SUM(AW94:AW142)/AW172</f>
        <v>0.21785714285714286</v>
      </c>
      <c r="AX181" s="55">
        <f t="shared" si="46"/>
        <v>0.4018295537272155</v>
      </c>
      <c r="AY181" s="103">
        <f t="shared" si="58"/>
        <v>0.17984240876772598</v>
      </c>
      <c r="BB181" s="76">
        <f>SUM(BB94:BB142)/BB172</f>
        <v>0.6117103235747303</v>
      </c>
      <c r="BC181" s="76">
        <f>SUM(BC94:BC142)/BC172</f>
        <v>0.40344827586206894</v>
      </c>
      <c r="BD181" s="76">
        <f>SUM(BD94:BD142)/BD172</f>
        <v>0.10780669144981413</v>
      </c>
      <c r="BE181" s="76">
        <f>SUM(BE94:BE142)/BE172</f>
        <v>0.3333333333333333</v>
      </c>
      <c r="BF181" s="76">
        <f>SUM(BF94:BF142)/BF172</f>
        <v>0.2751798561151079</v>
      </c>
      <c r="BG181" s="55">
        <f t="shared" si="47"/>
        <v>0.34629569606701094</v>
      </c>
      <c r="BH181" s="103">
        <f t="shared" si="59"/>
        <v>0.1842646417081268</v>
      </c>
      <c r="BN181" s="76">
        <f>SUM(BN94:BN142)/BN172</f>
        <v>0.21288014311270126</v>
      </c>
      <c r="BO181" s="76">
        <f>SUM(BO94:BO142)/BO172</f>
        <v>0.2026726057906459</v>
      </c>
      <c r="BP181" s="76">
        <f>SUM(BP94:BP142)/BP172</f>
        <v>0.29512893982808025</v>
      </c>
      <c r="BQ181" s="76">
        <f>SUM(BQ94:BQ142)/BQ172</f>
        <v>0.21029082774049218</v>
      </c>
      <c r="BR181" s="76">
        <f>SUM(BR94:BR142)/BR172</f>
        <v>0.37777777777777777</v>
      </c>
      <c r="BS181" s="55">
        <f t="shared" si="48"/>
        <v>0.25975005884993946</v>
      </c>
      <c r="BT181" s="103">
        <f t="shared" si="60"/>
        <v>0.0759655314031693</v>
      </c>
      <c r="BU181" s="76">
        <f>SUM(BU94:BU142)/BU172</f>
        <v>0.22428884026258206</v>
      </c>
      <c r="BV181" s="76">
        <f>SUM(BV94:BV142)/BV172</f>
        <v>0.22568093385214008</v>
      </c>
      <c r="BW181" s="76">
        <f>SUM(BW94:BW142)/BW172</f>
        <v>0.23580034423407917</v>
      </c>
      <c r="BX181" s="76">
        <f>SUM(BX94:BX142)/BX172</f>
        <v>0.2832080200501253</v>
      </c>
      <c r="BY181" s="76">
        <f>SUM(BY94:BY142)/BY172</f>
        <v>0.16283524904214558</v>
      </c>
      <c r="BZ181" s="55">
        <f t="shared" si="49"/>
        <v>0.22636267748821445</v>
      </c>
      <c r="CA181" s="103">
        <f t="shared" si="61"/>
        <v>0.04289802520157866</v>
      </c>
      <c r="CD181" s="76">
        <f>SUM(CD94:CD142)/CD172</f>
        <v>0.5644937586685159</v>
      </c>
      <c r="CE181" s="76">
        <f>SUM(CE94:CE142)/CE172</f>
        <v>0.5846560846560847</v>
      </c>
      <c r="CF181" s="76">
        <f>SUM(CF94:CF142)/CF172</f>
        <v>0.6276223776223776</v>
      </c>
      <c r="CG181" s="76">
        <f>SUM(CG94:CG142)/CG172</f>
        <v>0.5552147239263804</v>
      </c>
      <c r="CH181" s="76">
        <f>SUM(CH94:CH142)/CH172</f>
        <v>0.610062893081761</v>
      </c>
      <c r="CI181" s="55">
        <f t="shared" si="50"/>
        <v>0.5884099675910239</v>
      </c>
      <c r="CJ181" s="103">
        <f t="shared" si="62"/>
        <v>0.03039104790494711</v>
      </c>
      <c r="CP181" s="66">
        <f>100*SUM(CP94:CP142)/CP172</f>
        <v>53.42960288808664</v>
      </c>
      <c r="CQ181" s="66">
        <f>100*SUM(CQ94:CQ142)/CQ172</f>
        <v>48.01829268292683</v>
      </c>
      <c r="CR181" s="66">
        <f>100*SUM(CR94:CR142)/CR172</f>
        <v>48.92966360856269</v>
      </c>
      <c r="CS181" s="66">
        <f>100*SUM(CS94:CS142)/CS172</f>
        <v>36.557377049180324</v>
      </c>
      <c r="CT181" s="66">
        <f>100*SUM(CT94:CT142)/CT172</f>
        <v>34.366925064599485</v>
      </c>
      <c r="CU181" s="55">
        <f t="shared" si="63"/>
        <v>44.2603722586712</v>
      </c>
      <c r="CV181" s="103">
        <f t="shared" si="64"/>
        <v>8.324894451882624</v>
      </c>
      <c r="CY181" s="66">
        <f>100*SUM(CY94:CY142)/CY172</f>
        <v>22.96231375985977</v>
      </c>
      <c r="CZ181" s="66">
        <f>100*SUM(CZ94:CZ142)/CZ172</f>
        <v>43.72623574144487</v>
      </c>
      <c r="DA181" s="66">
        <f>100*SUM(DA94:DA142)/DA172</f>
        <v>41.666666666666664</v>
      </c>
      <c r="DB181" s="66">
        <f>100*SUM(DB94:DB142)/DB172</f>
        <v>21.663778162911612</v>
      </c>
      <c r="DC181" s="66">
        <f>100*SUM(DC94:DC142)/DC172</f>
        <v>38.54489164086687</v>
      </c>
      <c r="DD181" s="55">
        <f t="shared" si="65"/>
        <v>33.712777194349954</v>
      </c>
      <c r="DE181" s="103">
        <f t="shared" si="66"/>
        <v>10.57867999270668</v>
      </c>
      <c r="DH181" s="66">
        <f>100*SUM(DH94:DH142)/DH172</f>
        <v>65.07936507936508</v>
      </c>
      <c r="DI181" s="66">
        <f>100*SUM(DI94:DI142)/DI172</f>
        <v>36.331569664903</v>
      </c>
      <c r="DJ181" s="66">
        <f>100*SUM(DJ94:DJ142)/DJ172</f>
        <v>66.20689655172414</v>
      </c>
      <c r="DK181" s="66">
        <f>100*SUM(DK94:DK142)/DK172</f>
        <v>48.67724867724868</v>
      </c>
      <c r="DL181" s="66">
        <f>100*SUM(DL94:DL142)/DL172</f>
        <v>64.6774193548387</v>
      </c>
      <c r="DM181" s="55">
        <f t="shared" si="67"/>
        <v>56.194499865615924</v>
      </c>
      <c r="DN181" s="103">
        <f t="shared" si="68"/>
        <v>13.24947076220895</v>
      </c>
      <c r="DQ181" s="66">
        <f>100*SUM(DQ94:DQ142)/DQ172</f>
        <v>53.16901408450704</v>
      </c>
      <c r="DR181" s="66">
        <f>100*SUM(DR94:DR142)/DR172</f>
        <v>55.69176882661996</v>
      </c>
      <c r="DS181" s="66">
        <f>100*SUM(DS94:DS142)/DS172</f>
        <v>49.093904448105434</v>
      </c>
      <c r="DT181" s="66">
        <f>100*SUM(DT94:DT142)/DT172</f>
        <v>73.23420074349443</v>
      </c>
      <c r="DU181" s="66">
        <f>100*SUM(DU94:DU142)/DU172</f>
        <v>65.7559198542805</v>
      </c>
      <c r="DV181" s="72">
        <f t="shared" si="51"/>
        <v>59.38896159140147</v>
      </c>
      <c r="DW181" s="103">
        <f t="shared" si="69"/>
        <v>9.88147240561978</v>
      </c>
      <c r="EA181" s="66">
        <f>100*SUM(EA94:EA142)/EA172</f>
        <v>21.96969696969697</v>
      </c>
      <c r="EB181" s="66">
        <f>100*SUM(EB94:EB142)/EB172</f>
        <v>21.455223880597014</v>
      </c>
      <c r="EC181" s="66">
        <f>100*SUM(EC94:EC142)/EC172</f>
        <v>31.76691729323308</v>
      </c>
      <c r="ED181" s="66">
        <f>100*SUM(ED94:ED142)/ED172</f>
        <v>18.94934333958724</v>
      </c>
      <c r="EE181" s="66">
        <f>100*SUM(EE94:EE142)/EE172</f>
        <v>18.26241134751773</v>
      </c>
      <c r="EF181" s="55">
        <f t="shared" si="70"/>
        <v>22.480718566126406</v>
      </c>
      <c r="EG181" s="103">
        <f t="shared" si="71"/>
        <v>5.4270386953329455</v>
      </c>
    </row>
    <row r="182" spans="2:137" ht="12.75">
      <c r="B182" s="54"/>
      <c r="D182" s="53" t="s">
        <v>234</v>
      </c>
      <c r="F182" s="64">
        <f>COUNT(F94:F142)</f>
        <v>4</v>
      </c>
      <c r="G182" s="64">
        <f>COUNT(G94:G142)</f>
        <v>4</v>
      </c>
      <c r="H182" s="64">
        <f>COUNT(H94:H142)</f>
        <v>10</v>
      </c>
      <c r="I182" s="64">
        <f>COUNT(I94:I142)</f>
        <v>7</v>
      </c>
      <c r="J182" s="64">
        <f>COUNT(J94:J142)</f>
        <v>8</v>
      </c>
      <c r="K182" s="55">
        <f>AVERAGE(F182:J182)</f>
        <v>6.6</v>
      </c>
      <c r="L182" s="103">
        <f t="shared" si="52"/>
        <v>2.607680962081059</v>
      </c>
      <c r="M182" s="64">
        <f>COUNT(M94:M142)</f>
        <v>8</v>
      </c>
      <c r="N182" s="64">
        <f>COUNT(N94:N142)</f>
        <v>7</v>
      </c>
      <c r="O182" s="64">
        <f>COUNT(O94:O142)</f>
        <v>7</v>
      </c>
      <c r="P182" s="64">
        <f>COUNT(P94:P142)</f>
        <v>7</v>
      </c>
      <c r="Q182" s="64">
        <f>COUNT(Q94:Q142)</f>
        <v>6</v>
      </c>
      <c r="R182" s="55">
        <f t="shared" si="43"/>
        <v>7</v>
      </c>
      <c r="S182" s="103">
        <f t="shared" si="53"/>
        <v>0.7071067811865476</v>
      </c>
      <c r="T182" s="64">
        <f>COUNT(T94:T142)</f>
        <v>10</v>
      </c>
      <c r="U182" s="64">
        <f>COUNT(U94:U142)</f>
        <v>12</v>
      </c>
      <c r="V182" s="64">
        <f>COUNT(V94:V142)</f>
        <v>10</v>
      </c>
      <c r="W182" s="64">
        <f>COUNT(W94:W142)</f>
        <v>16</v>
      </c>
      <c r="X182" s="64">
        <f>COUNT(X94:X142)</f>
        <v>12</v>
      </c>
      <c r="Y182" s="55">
        <f t="shared" si="54"/>
        <v>12</v>
      </c>
      <c r="Z182" s="103">
        <f t="shared" si="55"/>
        <v>2.449489742783178</v>
      </c>
      <c r="AA182" s="64">
        <f>COUNT(AA94:AA142)</f>
        <v>12</v>
      </c>
      <c r="AB182" s="64">
        <f>COUNT(AB94:AB142)</f>
        <v>9</v>
      </c>
      <c r="AC182" s="64">
        <f>COUNT(AC94:AC142)</f>
        <v>9</v>
      </c>
      <c r="AD182" s="64">
        <f>COUNT(AD94:AD142)</f>
        <v>14</v>
      </c>
      <c r="AE182" s="64">
        <f>COUNT(AE94:AE142)</f>
        <v>8</v>
      </c>
      <c r="AF182" s="55">
        <f t="shared" si="44"/>
        <v>10.4</v>
      </c>
      <c r="AG182" s="103">
        <f t="shared" si="56"/>
        <v>2.509980079602229</v>
      </c>
      <c r="AL182" s="64">
        <f>COUNT(AL94:AL142)</f>
        <v>14</v>
      </c>
      <c r="AM182" s="64">
        <f>COUNT(AM94:AM142)</f>
        <v>13</v>
      </c>
      <c r="AN182" s="64">
        <f>COUNT(AN94:AN142)</f>
        <v>15</v>
      </c>
      <c r="AO182" s="64">
        <f>COUNT(AO94:AO142)</f>
        <v>11</v>
      </c>
      <c r="AP182" s="64">
        <f>COUNT(AP94:AP142)</f>
        <v>9</v>
      </c>
      <c r="AQ182" s="55">
        <f t="shared" si="45"/>
        <v>12.4</v>
      </c>
      <c r="AR182" s="103">
        <f t="shared" si="57"/>
        <v>2.4083189157584615</v>
      </c>
      <c r="AS182" s="64">
        <f>COUNT(AS94:AS142)</f>
        <v>15</v>
      </c>
      <c r="AT182" s="64">
        <f>COUNT(AT94:AT142)</f>
        <v>18</v>
      </c>
      <c r="AU182" s="64">
        <f>COUNT(AU94:AU142)</f>
        <v>21</v>
      </c>
      <c r="AV182" s="64">
        <f>COUNT(AV94:AV142)</f>
        <v>13</v>
      </c>
      <c r="AW182" s="64">
        <f>COUNT(AW94:AW142)</f>
        <v>13</v>
      </c>
      <c r="AX182" s="55">
        <f t="shared" si="46"/>
        <v>16</v>
      </c>
      <c r="AY182" s="103">
        <f t="shared" si="58"/>
        <v>3.4641016151377544</v>
      </c>
      <c r="BB182" s="64">
        <f>COUNT(BB94:BB142)</f>
        <v>16</v>
      </c>
      <c r="BC182" s="64">
        <f>COUNT(BC94:BC142)</f>
        <v>15</v>
      </c>
      <c r="BD182" s="64">
        <f>COUNT(BD94:BD142)</f>
        <v>9</v>
      </c>
      <c r="BE182" s="64">
        <f>COUNT(BE94:BE142)</f>
        <v>15</v>
      </c>
      <c r="BF182" s="64">
        <f>COUNT(BF94:BF142)</f>
        <v>16</v>
      </c>
      <c r="BG182" s="55">
        <f t="shared" si="47"/>
        <v>14.2</v>
      </c>
      <c r="BH182" s="103">
        <f t="shared" si="59"/>
        <v>2.949576240750523</v>
      </c>
      <c r="BN182" s="64">
        <f>COUNT(BN94:BN142)</f>
        <v>11</v>
      </c>
      <c r="BO182" s="64">
        <f>COUNT(BO94:BO142)</f>
        <v>8</v>
      </c>
      <c r="BP182" s="64">
        <f>COUNT(BP94:BP142)</f>
        <v>12</v>
      </c>
      <c r="BQ182" s="64">
        <f>COUNT(BQ94:BQ142)</f>
        <v>10</v>
      </c>
      <c r="BR182" s="64">
        <f>COUNT(BR94:BR142)</f>
        <v>11</v>
      </c>
      <c r="BS182" s="55">
        <f t="shared" si="48"/>
        <v>10.4</v>
      </c>
      <c r="BT182" s="103">
        <f t="shared" si="60"/>
        <v>1.5165750888103138</v>
      </c>
      <c r="BU182" s="64">
        <f>COUNT(BU94:BU142)</f>
        <v>19</v>
      </c>
      <c r="BV182" s="64">
        <f>COUNT(BV94:BV142)</f>
        <v>12</v>
      </c>
      <c r="BW182" s="64">
        <f>COUNT(BW94:BW142)</f>
        <v>15</v>
      </c>
      <c r="BX182" s="64">
        <f>COUNT(BX94:BX142)</f>
        <v>15</v>
      </c>
      <c r="BY182" s="64">
        <f>COUNT(BY94:BY142)</f>
        <v>14</v>
      </c>
      <c r="BZ182" s="55">
        <f t="shared" si="49"/>
        <v>15</v>
      </c>
      <c r="CA182" s="103">
        <f t="shared" si="61"/>
        <v>2.5495097567963922</v>
      </c>
      <c r="CD182" s="64">
        <f>COUNT(CD94:CD142)</f>
        <v>12</v>
      </c>
      <c r="CE182" s="64">
        <f>COUNT(CE94:CE142)</f>
        <v>10</v>
      </c>
      <c r="CF182" s="64">
        <f>COUNT(CF94:CF142)</f>
        <v>9</v>
      </c>
      <c r="CG182" s="64">
        <f>COUNT(CG94:CG142)</f>
        <v>7</v>
      </c>
      <c r="CH182" s="64">
        <f>COUNT(CH94:CH142)</f>
        <v>15</v>
      </c>
      <c r="CI182" s="55">
        <f t="shared" si="50"/>
        <v>10.6</v>
      </c>
      <c r="CJ182" s="103">
        <f t="shared" si="62"/>
        <v>3.0495901363953832</v>
      </c>
      <c r="CP182" s="64">
        <f>COUNT(CP94:CP142)</f>
        <v>8</v>
      </c>
      <c r="CQ182" s="64">
        <f>COUNT(CQ94:CQ142)</f>
        <v>9</v>
      </c>
      <c r="CR182" s="64">
        <f>COUNT(CR94:CR142)</f>
        <v>12</v>
      </c>
      <c r="CS182" s="64">
        <f>COUNT(CS94:CS142)</f>
        <v>9</v>
      </c>
      <c r="CT182" s="64">
        <f>COUNT(CT94:CT142)</f>
        <v>8</v>
      </c>
      <c r="CU182" s="55">
        <f t="shared" si="63"/>
        <v>9.2</v>
      </c>
      <c r="CV182" s="103">
        <f t="shared" si="64"/>
        <v>1.6431676725154991</v>
      </c>
      <c r="CY182" s="64">
        <f>COUNT(CY94:CY142)</f>
        <v>12</v>
      </c>
      <c r="CZ182" s="64">
        <f>COUNT(CZ94:CZ142)</f>
        <v>11</v>
      </c>
      <c r="DA182" s="64">
        <f>COUNT(DA94:DA142)</f>
        <v>10</v>
      </c>
      <c r="DB182" s="64">
        <f>COUNT(DB94:DB142)</f>
        <v>9</v>
      </c>
      <c r="DC182" s="64">
        <f>COUNT(DC94:DC142)</f>
        <v>11</v>
      </c>
      <c r="DD182" s="55">
        <f t="shared" si="65"/>
        <v>10.6</v>
      </c>
      <c r="DE182" s="103">
        <f t="shared" si="66"/>
        <v>1.140175425099143</v>
      </c>
      <c r="DH182" s="64">
        <f>COUNT(DH94:DH142)</f>
        <v>8</v>
      </c>
      <c r="DI182" s="64">
        <f>COUNT(DI94:DI142)</f>
        <v>10</v>
      </c>
      <c r="DJ182" s="64">
        <f>COUNT(DJ94:DJ142)</f>
        <v>9</v>
      </c>
      <c r="DK182" s="64">
        <f>COUNT(DK94:DK142)</f>
        <v>12</v>
      </c>
      <c r="DL182" s="64">
        <f>COUNT(DL94:DL142)</f>
        <v>8</v>
      </c>
      <c r="DM182" s="55">
        <f t="shared" si="67"/>
        <v>9.4</v>
      </c>
      <c r="DN182" s="103">
        <f t="shared" si="68"/>
        <v>1.6733200530681502</v>
      </c>
      <c r="DQ182" s="64">
        <f>COUNT(DQ94:DQ142)</f>
        <v>9</v>
      </c>
      <c r="DR182" s="64">
        <f>COUNT(DR94:DR142)</f>
        <v>7</v>
      </c>
      <c r="DS182" s="64">
        <f>COUNT(DS94:DS142)</f>
        <v>10</v>
      </c>
      <c r="DT182" s="64">
        <f>COUNT(DT94:DT142)</f>
        <v>7</v>
      </c>
      <c r="DU182" s="64">
        <f>COUNT(DU94:DU142)</f>
        <v>7</v>
      </c>
      <c r="DV182" s="72">
        <f t="shared" si="51"/>
        <v>8</v>
      </c>
      <c r="DW182" s="103">
        <f t="shared" si="69"/>
        <v>1.4142135623730951</v>
      </c>
      <c r="EA182" s="64">
        <f>COUNT(EA94:EA142)</f>
        <v>11</v>
      </c>
      <c r="EB182" s="64">
        <f>COUNT(EB94:EB142)</f>
        <v>11</v>
      </c>
      <c r="EC182" s="64">
        <f>COUNT(EC94:EC142)</f>
        <v>10</v>
      </c>
      <c r="ED182" s="64">
        <f>COUNT(ED94:ED142)</f>
        <v>7</v>
      </c>
      <c r="EE182" s="64">
        <f>COUNT(EE94:EE142)</f>
        <v>8</v>
      </c>
      <c r="EF182" s="55">
        <f t="shared" si="70"/>
        <v>9.4</v>
      </c>
      <c r="EG182" s="103">
        <f t="shared" si="71"/>
        <v>1.8165902124584943</v>
      </c>
    </row>
    <row r="183" spans="2:137" ht="12.75">
      <c r="B183" s="54"/>
      <c r="D183" s="53" t="s">
        <v>272</v>
      </c>
      <c r="F183" s="64">
        <v>18</v>
      </c>
      <c r="G183" s="53">
        <v>0</v>
      </c>
      <c r="H183" s="53">
        <v>31</v>
      </c>
      <c r="I183" s="53">
        <v>31</v>
      </c>
      <c r="J183" s="53">
        <v>8</v>
      </c>
      <c r="K183" s="55">
        <f>AVERAGE(F183:J183)</f>
        <v>17.6</v>
      </c>
      <c r="L183" s="103"/>
      <c r="M183" s="53">
        <v>4</v>
      </c>
      <c r="N183" s="53">
        <v>5</v>
      </c>
      <c r="O183" s="53">
        <v>3</v>
      </c>
      <c r="P183" s="53">
        <v>2</v>
      </c>
      <c r="Q183" s="53">
        <v>10</v>
      </c>
      <c r="R183" s="55">
        <f t="shared" si="43"/>
        <v>4.8</v>
      </c>
      <c r="S183" s="103"/>
      <c r="Y183" s="55"/>
      <c r="Z183" s="103"/>
      <c r="AF183" s="55"/>
      <c r="AG183" s="103"/>
      <c r="AR183" s="103"/>
      <c r="AY183" s="103"/>
      <c r="BH183" s="103"/>
      <c r="BT183" s="103"/>
      <c r="CA183" s="103"/>
      <c r="CJ183" s="103"/>
      <c r="CV183" s="103"/>
      <c r="DE183" s="103"/>
      <c r="DN183" s="103"/>
      <c r="DV183" s="66"/>
      <c r="DW183" s="103"/>
      <c r="EG183" s="103"/>
    </row>
    <row r="184" spans="2:137" ht="12.75">
      <c r="B184" s="54"/>
      <c r="D184" s="53" t="s">
        <v>273</v>
      </c>
      <c r="F184" s="53">
        <v>5</v>
      </c>
      <c r="G184" s="53">
        <v>0</v>
      </c>
      <c r="H184" s="53">
        <v>3</v>
      </c>
      <c r="I184" s="53">
        <v>5</v>
      </c>
      <c r="J184" s="53">
        <v>6</v>
      </c>
      <c r="K184" s="55">
        <f>AVERAGE(F184:J184)</f>
        <v>3.8</v>
      </c>
      <c r="L184" s="103"/>
      <c r="M184" s="53">
        <v>3</v>
      </c>
      <c r="N184" s="53">
        <v>0</v>
      </c>
      <c r="O184" s="53">
        <v>4</v>
      </c>
      <c r="P184" s="53">
        <v>2</v>
      </c>
      <c r="Q184" s="53">
        <v>6</v>
      </c>
      <c r="R184" s="55">
        <f t="shared" si="43"/>
        <v>3</v>
      </c>
      <c r="S184" s="103"/>
      <c r="Y184" s="55"/>
      <c r="Z184" s="103"/>
      <c r="AF184" s="55"/>
      <c r="AG184" s="103"/>
      <c r="AR184" s="103"/>
      <c r="AY184" s="103"/>
      <c r="BH184" s="103"/>
      <c r="BT184" s="103"/>
      <c r="CA184" s="103"/>
      <c r="CJ184" s="103"/>
      <c r="CV184" s="103"/>
      <c r="DE184" s="103"/>
      <c r="DN184" s="103"/>
      <c r="DV184" s="66"/>
      <c r="DW184" s="103"/>
      <c r="EG184" s="103"/>
    </row>
    <row r="185" spans="2:137" ht="12.75">
      <c r="B185" s="54"/>
      <c r="D185" s="53" t="s">
        <v>513</v>
      </c>
      <c r="F185" s="53">
        <v>26</v>
      </c>
      <c r="G185" s="53">
        <v>1</v>
      </c>
      <c r="H185" s="53">
        <v>34</v>
      </c>
      <c r="I185" s="53">
        <v>38</v>
      </c>
      <c r="J185" s="53">
        <v>11</v>
      </c>
      <c r="K185" s="55">
        <f>AVERAGE(F185:J185)</f>
        <v>22</v>
      </c>
      <c r="L185" s="103">
        <f>STDEV(F185:J185)</f>
        <v>15.636495771111889</v>
      </c>
      <c r="M185" s="53">
        <v>7</v>
      </c>
      <c r="N185" s="53">
        <v>5</v>
      </c>
      <c r="O185" s="53">
        <v>8</v>
      </c>
      <c r="P185" s="53">
        <v>4</v>
      </c>
      <c r="Q185" s="53">
        <v>14</v>
      </c>
      <c r="R185" s="55">
        <f t="shared" si="43"/>
        <v>7.6</v>
      </c>
      <c r="S185" s="103">
        <f>STDEV(M185:Q185)</f>
        <v>3.911521443121589</v>
      </c>
      <c r="T185" s="53">
        <v>14</v>
      </c>
      <c r="U185" s="53">
        <v>7</v>
      </c>
      <c r="V185" s="53">
        <v>10</v>
      </c>
      <c r="W185" s="53">
        <v>9</v>
      </c>
      <c r="X185" s="53">
        <v>10</v>
      </c>
      <c r="Y185" s="55">
        <f t="shared" si="54"/>
        <v>10</v>
      </c>
      <c r="Z185" s="103">
        <f>STDEV(T185:X185)</f>
        <v>2.5495097567963922</v>
      </c>
      <c r="AA185" s="53">
        <v>32</v>
      </c>
      <c r="AB185" s="53">
        <v>31</v>
      </c>
      <c r="AC185" s="53">
        <v>25</v>
      </c>
      <c r="AD185" s="53">
        <v>14</v>
      </c>
      <c r="AE185" s="53">
        <v>8</v>
      </c>
      <c r="AF185" s="55">
        <f t="shared" si="44"/>
        <v>22</v>
      </c>
      <c r="AG185" s="103">
        <f>STDEV(AA185:AE185)</f>
        <v>10.606601717798213</v>
      </c>
      <c r="AL185" s="53">
        <v>22</v>
      </c>
      <c r="AM185" s="53">
        <v>32</v>
      </c>
      <c r="AN185" s="53">
        <v>23</v>
      </c>
      <c r="AO185" s="53">
        <v>14</v>
      </c>
      <c r="AP185" s="53">
        <v>16</v>
      </c>
      <c r="AQ185" s="55">
        <f>AVERAGE(AL185:AP185)</f>
        <v>21.4</v>
      </c>
      <c r="AR185" s="103">
        <f>STDEV(AL185:AP185)</f>
        <v>7.056911505750937</v>
      </c>
      <c r="AS185" s="53">
        <v>23</v>
      </c>
      <c r="AT185" s="53">
        <v>12</v>
      </c>
      <c r="AU185" s="53">
        <v>27</v>
      </c>
      <c r="AV185" s="53">
        <v>9</v>
      </c>
      <c r="AW185" s="53">
        <v>21</v>
      </c>
      <c r="AX185" s="55">
        <f>AVERAGE(AS185:AW185)</f>
        <v>18.4</v>
      </c>
      <c r="AY185" s="103">
        <f>STDEV(AS185:AW185)</f>
        <v>7.602631123499286</v>
      </c>
      <c r="BB185" s="53">
        <v>7</v>
      </c>
      <c r="BC185" s="53">
        <v>8</v>
      </c>
      <c r="BD185" s="53">
        <v>12</v>
      </c>
      <c r="BE185" s="53">
        <v>14</v>
      </c>
      <c r="BF185" s="53">
        <v>15</v>
      </c>
      <c r="BG185" s="55">
        <f>AVERAGE(BB185:BF185)</f>
        <v>11.2</v>
      </c>
      <c r="BH185" s="103">
        <f>STDEV(BB185:BF185)</f>
        <v>3.5637059362410906</v>
      </c>
      <c r="BN185" s="53">
        <v>19</v>
      </c>
      <c r="BO185" s="53">
        <v>22</v>
      </c>
      <c r="BP185" s="53">
        <v>19</v>
      </c>
      <c r="BQ185" s="53">
        <v>13</v>
      </c>
      <c r="BR185" s="53">
        <v>14</v>
      </c>
      <c r="BS185" s="55">
        <f>AVERAGE(BN185:BR185)</f>
        <v>17.4</v>
      </c>
      <c r="BT185" s="103">
        <f>STDEV(BN185:BR185)</f>
        <v>3.781534080237809</v>
      </c>
      <c r="BU185" s="53">
        <v>31</v>
      </c>
      <c r="BV185" s="53">
        <v>16</v>
      </c>
      <c r="BW185" s="53">
        <v>24</v>
      </c>
      <c r="BX185" s="53">
        <v>13</v>
      </c>
      <c r="BY185" s="53">
        <v>8</v>
      </c>
      <c r="BZ185" s="55">
        <f>AVERAGE(BU185:BY185)</f>
        <v>18.4</v>
      </c>
      <c r="CA185" s="103">
        <f>STDEV(BU185:BY185)</f>
        <v>9.126883367283709</v>
      </c>
      <c r="CD185" s="53">
        <v>10</v>
      </c>
      <c r="CE185" s="53">
        <v>3</v>
      </c>
      <c r="CF185" s="53">
        <v>5</v>
      </c>
      <c r="CG185" s="53">
        <v>3</v>
      </c>
      <c r="CH185" s="53">
        <v>8</v>
      </c>
      <c r="CI185" s="55">
        <f>AVERAGE(CD185:CH185)</f>
        <v>5.8</v>
      </c>
      <c r="CJ185" s="103">
        <f>STDEV(CD185:CH185)</f>
        <v>3.1144823004794877</v>
      </c>
      <c r="CP185" s="53">
        <v>3</v>
      </c>
      <c r="CQ185" s="53">
        <v>13</v>
      </c>
      <c r="CR185" s="53">
        <v>8</v>
      </c>
      <c r="CS185" s="53">
        <v>4</v>
      </c>
      <c r="CT185" s="53">
        <v>10</v>
      </c>
      <c r="CU185" s="55">
        <f>AVERAGE(CP185:CT185)</f>
        <v>7.6</v>
      </c>
      <c r="CV185" s="103">
        <f>STDEV(CP185:CT185)</f>
        <v>4.159326868617084</v>
      </c>
      <c r="CY185" s="53">
        <v>49</v>
      </c>
      <c r="CZ185" s="53">
        <v>12</v>
      </c>
      <c r="DA185" s="53">
        <v>16</v>
      </c>
      <c r="DB185" s="53">
        <v>29</v>
      </c>
      <c r="DC185" s="53">
        <v>9</v>
      </c>
      <c r="DD185" s="55">
        <f>AVERAGE(CY185:DC185)</f>
        <v>23</v>
      </c>
      <c r="DE185" s="103">
        <f>STDEV(CY185:DC185)</f>
        <v>16.416455159382004</v>
      </c>
      <c r="DH185" s="53">
        <v>4</v>
      </c>
      <c r="DI185" s="53">
        <v>46</v>
      </c>
      <c r="DJ185" s="53">
        <v>8</v>
      </c>
      <c r="DK185" s="53">
        <v>13</v>
      </c>
      <c r="DL185" s="53">
        <v>25</v>
      </c>
      <c r="DM185" s="55">
        <f>AVERAGE(DH185:DL185)</f>
        <v>19.2</v>
      </c>
      <c r="DN185" s="103">
        <f>STDEV(DH185:DL185)</f>
        <v>16.93221781102523</v>
      </c>
      <c r="DQ185" s="53">
        <v>2</v>
      </c>
      <c r="DR185" s="53">
        <v>1</v>
      </c>
      <c r="DS185" s="53">
        <v>5</v>
      </c>
      <c r="DT185" s="53">
        <v>2</v>
      </c>
      <c r="DU185" s="53">
        <v>6</v>
      </c>
      <c r="DV185" s="72">
        <f>AVERAGE(DQ185:DU185)</f>
        <v>3.2</v>
      </c>
      <c r="DW185" s="103">
        <f>STDEV(DQ185:DU185)</f>
        <v>2.16794833886788</v>
      </c>
      <c r="EA185" s="53">
        <v>3</v>
      </c>
      <c r="EB185" s="53">
        <v>8</v>
      </c>
      <c r="EC185" s="53">
        <v>8</v>
      </c>
      <c r="ED185" s="53">
        <v>8</v>
      </c>
      <c r="EE185" s="53">
        <v>11</v>
      </c>
      <c r="EF185" s="55">
        <f>AVERAGE(EA185:EE185)</f>
        <v>7.6</v>
      </c>
      <c r="EG185" s="103">
        <f>STDEV(EA185:EE185)</f>
        <v>2.880972058177586</v>
      </c>
    </row>
    <row r="186" spans="2:137" ht="12.75">
      <c r="B186" s="54"/>
      <c r="D186" s="53" t="s">
        <v>514</v>
      </c>
      <c r="L186" s="103"/>
      <c r="S186" s="103"/>
      <c r="Z186" s="103"/>
      <c r="AG186" s="103"/>
      <c r="AR186" s="103"/>
      <c r="AY186" s="103"/>
      <c r="BH186" s="103"/>
      <c r="BL186" s="53" t="s">
        <v>393</v>
      </c>
      <c r="BN186" s="53">
        <f>BN95+BN185</f>
        <v>26</v>
      </c>
      <c r="BO186" s="53">
        <f>BO95+BO185</f>
        <v>29</v>
      </c>
      <c r="BP186" s="53">
        <f>BP95+BP185</f>
        <v>22</v>
      </c>
      <c r="BQ186" s="53">
        <f>BQ95+BQ185</f>
        <v>16</v>
      </c>
      <c r="BR186" s="53">
        <f>BR95+BR185</f>
        <v>17</v>
      </c>
      <c r="BT186" s="103"/>
      <c r="BU186" s="53">
        <f>BU95+BU185</f>
        <v>45</v>
      </c>
      <c r="BV186" s="53">
        <f>BV95+BV185</f>
        <v>16</v>
      </c>
      <c r="BW186" s="53">
        <f>BW95+BW185</f>
        <v>25</v>
      </c>
      <c r="BX186" s="53">
        <f>BX95+BX185</f>
        <v>14</v>
      </c>
      <c r="BY186" s="53">
        <f>BY95+BY185</f>
        <v>8</v>
      </c>
      <c r="CA186" s="103"/>
      <c r="CD186" s="53">
        <f>CD95+CD185</f>
        <v>17</v>
      </c>
      <c r="CE186" s="53">
        <f>CE95+CE185</f>
        <v>5</v>
      </c>
      <c r="CF186" s="53">
        <f>CF95+CF185</f>
        <v>5</v>
      </c>
      <c r="CG186" s="53">
        <f>CG95+CG185</f>
        <v>3</v>
      </c>
      <c r="CH186" s="53">
        <f>CH95+CH185</f>
        <v>9</v>
      </c>
      <c r="CJ186" s="103"/>
      <c r="CP186" s="66"/>
      <c r="CV186" s="103"/>
      <c r="DE186" s="103"/>
      <c r="DN186" s="103"/>
      <c r="DQ186" s="66"/>
      <c r="DR186" s="66"/>
      <c r="DS186" s="66"/>
      <c r="DT186" s="66"/>
      <c r="DU186" s="66"/>
      <c r="DV186" s="66"/>
      <c r="DW186" s="103"/>
      <c r="EG186" s="103"/>
    </row>
    <row r="187" spans="2:137" ht="14.25">
      <c r="B187" s="54"/>
      <c r="D187" s="67" t="s">
        <v>515</v>
      </c>
      <c r="F187" s="53">
        <f>F189*F175/F172</f>
        <v>159.1</v>
      </c>
      <c r="G187" s="53">
        <f>G189*G175/G172</f>
        <v>3.7</v>
      </c>
      <c r="H187" s="53">
        <f>H189*H175/H172</f>
        <v>270.1</v>
      </c>
      <c r="I187" s="53">
        <f>I189*I175/I172</f>
        <v>162.8</v>
      </c>
      <c r="J187" s="53">
        <f>J189*J175/J172</f>
        <v>503.2</v>
      </c>
      <c r="K187" s="55">
        <f>AVERAGE(F187:J187)</f>
        <v>219.78000000000003</v>
      </c>
      <c r="L187" s="103">
        <f>STDEV(F187:J187)</f>
        <v>184.7148802885138</v>
      </c>
      <c r="M187" s="53">
        <f>M189*M175/M172</f>
        <v>266.40000000000003</v>
      </c>
      <c r="N187" s="53">
        <f>N189*N175/N172</f>
        <v>148</v>
      </c>
      <c r="O187" s="53">
        <f>O189*O175/O172</f>
        <v>236.8</v>
      </c>
      <c r="P187" s="53">
        <f>P189*P175/P172</f>
        <v>148.00000000000003</v>
      </c>
      <c r="Q187" s="53">
        <f>Q189*Q175/Q172</f>
        <v>592</v>
      </c>
      <c r="R187" s="55">
        <f>AVERAGE(M187:Q187)</f>
        <v>278.24</v>
      </c>
      <c r="S187" s="103">
        <f>STDEV(M187:Q187)</f>
        <v>183.1855016097071</v>
      </c>
      <c r="T187" s="53">
        <f>T189*T175/T172</f>
        <v>473.6</v>
      </c>
      <c r="U187" s="53">
        <f>U189*U175/U172</f>
        <v>355.20000000000005</v>
      </c>
      <c r="V187" s="53">
        <f>V189*V175/V172</f>
        <v>325.6000000000001</v>
      </c>
      <c r="W187" s="53">
        <f>W189*W175/W172</f>
        <v>162.8</v>
      </c>
      <c r="X187" s="53">
        <f>X189*X175/X172</f>
        <v>355.2</v>
      </c>
      <c r="Y187" s="55">
        <f>AVERAGE(T187:X187)</f>
        <v>334.48</v>
      </c>
      <c r="Z187" s="103">
        <f>STDEV(T187:X187)</f>
        <v>111.54134659398733</v>
      </c>
      <c r="AA187" s="53">
        <f>AA189*AA175/AA172</f>
        <v>1095.2</v>
      </c>
      <c r="AB187" s="53">
        <f>AB189*AB175/AB172</f>
        <v>976.8000000000001</v>
      </c>
      <c r="AC187" s="53">
        <f>AC189*AC175/AC172</f>
        <v>858.4000000000001</v>
      </c>
      <c r="AD187" s="53">
        <f>AD189*AD175/AD172</f>
        <v>162.8</v>
      </c>
      <c r="AE187" s="53">
        <f>AE189*AE175/AE172</f>
        <v>384.80000000000007</v>
      </c>
      <c r="AF187" s="55">
        <f>AVERAGE(AA187:AE187)</f>
        <v>695.6000000000001</v>
      </c>
      <c r="AG187" s="103">
        <f>STDEV(AA187:AE187)</f>
        <v>401.7866100307474</v>
      </c>
      <c r="AL187" s="53">
        <f>AL185*AL175/AL172</f>
        <v>651.1999999999999</v>
      </c>
      <c r="AM187" s="53">
        <f>AM185*AM175/AM172</f>
        <v>947.2</v>
      </c>
      <c r="AN187" s="53">
        <f>AN185*AN175/AN172</f>
        <v>680.8000000000001</v>
      </c>
      <c r="AO187" s="53">
        <f>AO185*AO175/AO172</f>
        <v>828.8000000000001</v>
      </c>
      <c r="AP187" s="53">
        <f>AP185*AP175/AP172</f>
        <v>947.2</v>
      </c>
      <c r="AQ187" s="55">
        <f>AVERAGE(AL187:AP187)</f>
        <v>811.0400000000002</v>
      </c>
      <c r="AR187" s="103">
        <f>STDEV(AL187:AP187)</f>
        <v>141.33806281394882</v>
      </c>
      <c r="AS187" s="53">
        <f>AS185*AS175/AS172</f>
        <v>680.8000000000001</v>
      </c>
      <c r="AT187" s="53">
        <f>AT185*AT175/AT172</f>
        <v>355.20000000000005</v>
      </c>
      <c r="AU187" s="53">
        <f>AU185*AU175/AU172</f>
        <v>799.2</v>
      </c>
      <c r="AV187" s="53">
        <f>AV185*AV175/AV172</f>
        <v>266.40000000000003</v>
      </c>
      <c r="AW187" s="53">
        <f>AW185*AW175/AW172</f>
        <v>1243.2</v>
      </c>
      <c r="AX187" s="55">
        <f>AVERAGE(AS187:AW187)</f>
        <v>668.96</v>
      </c>
      <c r="AY187" s="103">
        <f>STDEV(AS187:AW187)</f>
        <v>389.6646352955321</v>
      </c>
      <c r="BB187" s="53">
        <f>BB185*BB175/BB172</f>
        <v>414.40000000000003</v>
      </c>
      <c r="BC187" s="53">
        <f>BC185*BC175/BC172</f>
        <v>473.6</v>
      </c>
      <c r="BD187" s="53">
        <f>BD185*BD175/BD172</f>
        <v>710.4</v>
      </c>
      <c r="BE187" s="53">
        <f>BE185*BE175/BE172</f>
        <v>828.8000000000001</v>
      </c>
      <c r="BF187" s="53">
        <f>BF185*BF175/BF172</f>
        <v>444.00000000000006</v>
      </c>
      <c r="BG187" s="55">
        <f>AVERAGE(BB187:BF187)</f>
        <v>574.24</v>
      </c>
      <c r="BH187" s="103">
        <f>STDEV(BB187:BF187)</f>
        <v>184.37735218838543</v>
      </c>
      <c r="BN187" s="53">
        <f>BN185*BN175/BN172</f>
        <v>562.4000000000001</v>
      </c>
      <c r="BO187" s="53">
        <f>BO185*BO175/BO172</f>
        <v>1302.4000000000003</v>
      </c>
      <c r="BP187" s="53">
        <f>BP185*BP175/BP172</f>
        <v>562.4</v>
      </c>
      <c r="BQ187" s="53">
        <f>BQ185*BQ175/BQ172</f>
        <v>769.6</v>
      </c>
      <c r="BR187" s="53">
        <f>BR185*BR175/BR172</f>
        <v>828.8</v>
      </c>
      <c r="BS187" s="55">
        <f>AVERAGE(BN187:BR187)</f>
        <v>805.1200000000001</v>
      </c>
      <c r="BT187" s="103">
        <f>STDEV(BN187:BR187)</f>
        <v>302.876133097344</v>
      </c>
      <c r="BU187" s="53">
        <f>BU185*BU175/BU172</f>
        <v>917.6</v>
      </c>
      <c r="BV187" s="53">
        <f>BV185*BV175/BV172</f>
        <v>947.2</v>
      </c>
      <c r="BW187" s="53">
        <f>BW185*BW175/BW172</f>
        <v>710.4000000000001</v>
      </c>
      <c r="BX187" s="53">
        <f>BX185*BX175/BX172</f>
        <v>769.6</v>
      </c>
      <c r="BY187" s="53">
        <f>BY185*BY175/BY172</f>
        <v>473.6</v>
      </c>
      <c r="BZ187" s="55">
        <f>AVERAGE(BU187:BY187)</f>
        <v>763.6800000000001</v>
      </c>
      <c r="CA187" s="103">
        <f>STDEV(BU187:BY187)</f>
        <v>189.9941893848336</v>
      </c>
      <c r="CD187" s="53">
        <f>CD185*CD175/CD172</f>
        <v>296.00000000000006</v>
      </c>
      <c r="CE187" s="53">
        <f>CE185*CE175/CE172</f>
        <v>0</v>
      </c>
      <c r="CF187" s="53">
        <f>CF185*CF175/CF172</f>
        <v>0</v>
      </c>
      <c r="CG187" s="53">
        <f>CG185*CG175/CG172</f>
        <v>88.80000000000001</v>
      </c>
      <c r="CH187" s="53">
        <f>CH185*CH175/CH172</f>
        <v>236.80000000000004</v>
      </c>
      <c r="CI187" s="55">
        <f>AVERAGE(CD187:CH187)</f>
        <v>124.32000000000002</v>
      </c>
      <c r="CJ187" s="103">
        <f>STDEV(CD187:CH187)</f>
        <v>136.28863488934067</v>
      </c>
      <c r="CP187" s="68">
        <f>CP185*CP175/CP172</f>
        <v>177.60000000000002</v>
      </c>
      <c r="CQ187" s="68">
        <f>CQ185*CQ175/CQ172</f>
        <v>1026.1333333333334</v>
      </c>
      <c r="CR187" s="68">
        <f>CR185*CR175/CR172</f>
        <v>947.2</v>
      </c>
      <c r="CS187" s="68">
        <f>CS185*CS175/CS172</f>
        <v>157.86666666666665</v>
      </c>
      <c r="CT187" s="68">
        <f>CT185*CT175/CT172</f>
        <v>296</v>
      </c>
      <c r="CU187" s="55">
        <f>AVERAGE(CP187:CT187)</f>
        <v>520.96</v>
      </c>
      <c r="CV187" s="103">
        <f>STDEV(CP187:CT187)</f>
        <v>429.3077259444041</v>
      </c>
      <c r="CY187" s="68">
        <f>CY185*CY175/CY172</f>
        <v>1933.8666666666668</v>
      </c>
      <c r="CZ187" s="68">
        <f>CZ185*CZ175/CZ172</f>
        <v>1420.8000000000002</v>
      </c>
      <c r="DA187" s="68">
        <f>DA185*DA175/DA172</f>
        <v>947.2</v>
      </c>
      <c r="DB187" s="68">
        <f>DB185*DB175/DB172</f>
        <v>858.4000000000001</v>
      </c>
      <c r="DC187" s="68">
        <f>DC185*DC175/DC172</f>
        <v>1065.6000000000001</v>
      </c>
      <c r="DD187" s="55">
        <f>AVERAGE(CY187:DC187)</f>
        <v>1245.1733333333334</v>
      </c>
      <c r="DE187" s="103">
        <f>STDEV(CY187:DC187)</f>
        <v>440.3894680343252</v>
      </c>
      <c r="DH187" s="68">
        <f>DH185*DH175/DH172</f>
        <v>118.4</v>
      </c>
      <c r="DI187" s="68">
        <f>DI185*DI175/DI172</f>
        <v>680.8000000000001</v>
      </c>
      <c r="DJ187" s="68">
        <f>DJ185*DJ175/DJ172</f>
        <v>473.6</v>
      </c>
      <c r="DK187" s="68">
        <f>DK185*DK175/DK172</f>
        <v>513.0666666666667</v>
      </c>
      <c r="DL187" s="68">
        <f>DL185*DL175/DL172</f>
        <v>986.6666666666665</v>
      </c>
      <c r="DM187" s="55">
        <f>AVERAGE(DH187:DL187)</f>
        <v>554.5066666666667</v>
      </c>
      <c r="DN187" s="103">
        <f>STDEV(DH187:DL187)</f>
        <v>316.6877242121434</v>
      </c>
      <c r="DQ187" s="68">
        <f>DQ185*DQ175/DQ172</f>
        <v>236.79999999999998</v>
      </c>
      <c r="DR187" s="68">
        <f>DR185*DR175/DR172</f>
        <v>78.93333333333334</v>
      </c>
      <c r="DS187" s="68">
        <f>DS185*DS175/DS172</f>
        <v>394.66666666666663</v>
      </c>
      <c r="DT187" s="68">
        <f>DT185*DT175/DT172</f>
        <v>473.6</v>
      </c>
      <c r="DU187" s="68">
        <f>DU185*DU175/DU172</f>
        <v>1420.8000000000002</v>
      </c>
      <c r="DV187" s="72">
        <f>AVERAGE(DQ187:DU187)</f>
        <v>520.96</v>
      </c>
      <c r="DW187" s="103">
        <f>STDEV(DQ187:DU187)</f>
        <v>525.366415202021</v>
      </c>
      <c r="EA187" s="68">
        <f>EA185*EA175/EA172</f>
        <v>236.8</v>
      </c>
      <c r="EB187" s="68">
        <f>EB185*EB175/EB172</f>
        <v>947.2</v>
      </c>
      <c r="EC187" s="68">
        <f>EC185*EC175/EC172</f>
        <v>947.2</v>
      </c>
      <c r="ED187" s="68">
        <f>ED185*ED175/ED172</f>
        <v>315.73333333333335</v>
      </c>
      <c r="EE187" s="68">
        <f>EE185*EE175/EE172</f>
        <v>434.1333333333333</v>
      </c>
      <c r="EF187" s="55">
        <f>AVERAGE(EA187:EE187)</f>
        <v>576.2133333333334</v>
      </c>
      <c r="EG187" s="103">
        <f>STDEV(EA187:EE187)</f>
        <v>345.8685376459289</v>
      </c>
    </row>
    <row r="188" spans="2:137" ht="14.25">
      <c r="B188" s="54"/>
      <c r="D188" s="67" t="s">
        <v>516</v>
      </c>
      <c r="L188" s="66"/>
      <c r="S188" s="66"/>
      <c r="Z188" s="66"/>
      <c r="AG188" s="66"/>
      <c r="AR188" s="66"/>
      <c r="AY188" s="66"/>
      <c r="BH188" s="66"/>
      <c r="BL188" s="53" t="s">
        <v>393</v>
      </c>
      <c r="BN188" s="53">
        <f>BN186*BN175/BN172</f>
        <v>769.6</v>
      </c>
      <c r="BO188" s="53">
        <f>BO186*BO175/BO172</f>
        <v>1716.8000000000002</v>
      </c>
      <c r="BP188" s="53">
        <f>BP186*BP175/BP172</f>
        <v>651.1999999999999</v>
      </c>
      <c r="BQ188" s="53">
        <f>BQ186*BQ175/BQ172</f>
        <v>947.2</v>
      </c>
      <c r="BR188" s="53">
        <f>BR186*BR175/BR172</f>
        <v>1006.4</v>
      </c>
      <c r="BS188" s="55">
        <f>AVERAGE(BN188:BR188)</f>
        <v>1018.24</v>
      </c>
      <c r="BT188" s="103">
        <f>STDEV(BN188:BR188)</f>
        <v>415.24485306864455</v>
      </c>
      <c r="BU188" s="53">
        <f>BU186*BU175/BU172</f>
        <v>1332</v>
      </c>
      <c r="BV188" s="53">
        <f>BV186*BV175/BV172</f>
        <v>947.2</v>
      </c>
      <c r="BW188" s="53">
        <f>BW186*BW175/BW172</f>
        <v>740.0000000000001</v>
      </c>
      <c r="BX188" s="53">
        <f>BX186*BX175/BX172</f>
        <v>828.8000000000002</v>
      </c>
      <c r="BY188" s="53">
        <f>BY186*BY175/BY172</f>
        <v>473.6</v>
      </c>
      <c r="BZ188" s="55">
        <f>AVERAGE(BU188:BY188)</f>
        <v>864.32</v>
      </c>
      <c r="CA188" s="103">
        <f>STDEV(BU188:BY188)</f>
        <v>314.2343584014962</v>
      </c>
      <c r="CD188" s="53">
        <f>CD186*CD175/CD172</f>
        <v>503.2</v>
      </c>
      <c r="CE188" s="53">
        <f>CE186*CE175/CE172</f>
        <v>0</v>
      </c>
      <c r="CF188" s="53">
        <f>CF186*CF175/CF172</f>
        <v>0</v>
      </c>
      <c r="CG188" s="53">
        <f>CG186*CG175/CG172</f>
        <v>88.80000000000001</v>
      </c>
      <c r="CH188" s="53">
        <f>CH186*CH175/CH172</f>
        <v>266.40000000000003</v>
      </c>
      <c r="CI188" s="55">
        <f>AVERAGE(CD188:CH188)</f>
        <v>171.68</v>
      </c>
      <c r="CJ188" s="103">
        <f>STDEV(CD188:CH188)</f>
        <v>214.88050632851738</v>
      </c>
      <c r="EG188" s="102"/>
    </row>
    <row r="189" spans="2:31" ht="12.75">
      <c r="B189" s="54"/>
      <c r="D189" s="53" t="s">
        <v>530</v>
      </c>
      <c r="F189" s="53">
        <v>43</v>
      </c>
      <c r="G189" s="53">
        <v>1</v>
      </c>
      <c r="H189" s="53">
        <v>73</v>
      </c>
      <c r="I189" s="53">
        <v>44</v>
      </c>
      <c r="J189" s="53">
        <v>17</v>
      </c>
      <c r="M189" s="53">
        <v>9</v>
      </c>
      <c r="N189" s="53">
        <v>5</v>
      </c>
      <c r="O189" s="53">
        <v>8</v>
      </c>
      <c r="P189" s="53">
        <v>5</v>
      </c>
      <c r="Q189" s="53">
        <v>20</v>
      </c>
      <c r="T189" s="53">
        <v>16</v>
      </c>
      <c r="U189" s="53">
        <v>12</v>
      </c>
      <c r="V189" s="53">
        <v>11</v>
      </c>
      <c r="W189" s="53">
        <v>11</v>
      </c>
      <c r="X189" s="53">
        <v>12</v>
      </c>
      <c r="AA189" s="53">
        <v>37</v>
      </c>
      <c r="AB189" s="53">
        <v>33</v>
      </c>
      <c r="AC189" s="53">
        <v>29</v>
      </c>
      <c r="AD189" s="53">
        <v>11</v>
      </c>
      <c r="AE189" s="53">
        <v>13</v>
      </c>
    </row>
    <row r="190" spans="2:64" ht="12.75">
      <c r="B190" s="54"/>
      <c r="F190" s="76"/>
      <c r="BL190" s="53" t="s">
        <v>394</v>
      </c>
    </row>
    <row r="191" spans="2:64" ht="12.75">
      <c r="B191" s="54"/>
      <c r="F191" s="76"/>
      <c r="BL191" s="53" t="s">
        <v>395</v>
      </c>
    </row>
    <row r="192" spans="2:64" ht="12.75">
      <c r="B192" s="54"/>
      <c r="F192" s="76"/>
      <c r="BL192" s="53" t="s">
        <v>396</v>
      </c>
    </row>
    <row r="193" spans="2:64" ht="12.75">
      <c r="B193" s="54"/>
      <c r="BL193" s="53" t="s">
        <v>397</v>
      </c>
    </row>
    <row r="194" spans="23:25" ht="12.75">
      <c r="W194" s="53" t="s">
        <v>223</v>
      </c>
      <c r="X194" s="53" t="s">
        <v>222</v>
      </c>
      <c r="Y194" s="53" t="s">
        <v>559</v>
      </c>
    </row>
    <row r="195" spans="23:25" ht="12.75">
      <c r="W195" s="53" t="s">
        <v>163</v>
      </c>
      <c r="X195" s="53" t="s">
        <v>163</v>
      </c>
      <c r="Y195" s="53" t="s">
        <v>558</v>
      </c>
    </row>
    <row r="196" spans="6:25" ht="12.75">
      <c r="F196" s="53" t="s">
        <v>161</v>
      </c>
      <c r="T196" s="59">
        <v>1999</v>
      </c>
      <c r="U196" s="100" t="s">
        <v>554</v>
      </c>
      <c r="W196" s="53">
        <v>15</v>
      </c>
      <c r="X196" s="53">
        <v>7</v>
      </c>
      <c r="Y196" s="53">
        <v>3.7</v>
      </c>
    </row>
    <row r="197" spans="6:25" ht="12.75">
      <c r="F197" s="53" t="s">
        <v>159</v>
      </c>
      <c r="G197" s="53" t="s">
        <v>160</v>
      </c>
      <c r="W197" s="53">
        <v>23</v>
      </c>
      <c r="X197" s="53">
        <v>11</v>
      </c>
      <c r="Y197" s="53">
        <v>236.8</v>
      </c>
    </row>
    <row r="198" spans="5:25" ht="12.75">
      <c r="E198" s="53" t="s">
        <v>158</v>
      </c>
      <c r="F198" s="53">
        <v>26.8</v>
      </c>
      <c r="G198" s="53">
        <v>8.6</v>
      </c>
      <c r="W198" s="53">
        <v>27</v>
      </c>
      <c r="X198" s="53">
        <v>13</v>
      </c>
      <c r="Y198" s="53">
        <v>148</v>
      </c>
    </row>
    <row r="199" spans="5:25" ht="12.75">
      <c r="E199" s="53" t="s">
        <v>157</v>
      </c>
      <c r="F199" s="53">
        <v>24.4</v>
      </c>
      <c r="G199" s="53">
        <v>3.8</v>
      </c>
      <c r="T199" s="59">
        <v>2000</v>
      </c>
      <c r="U199" s="100" t="s">
        <v>555</v>
      </c>
      <c r="W199" s="53">
        <v>31</v>
      </c>
      <c r="X199" s="53">
        <v>9</v>
      </c>
      <c r="Y199" s="53">
        <v>473.6</v>
      </c>
    </row>
    <row r="200" spans="5:25" ht="12.75">
      <c r="E200" s="53" t="s">
        <v>156</v>
      </c>
      <c r="F200" s="53">
        <v>25.6</v>
      </c>
      <c r="G200" s="53">
        <v>6.4</v>
      </c>
      <c r="W200" s="53">
        <v>33</v>
      </c>
      <c r="X200" s="53">
        <v>8</v>
      </c>
      <c r="Y200" s="53">
        <v>355.2</v>
      </c>
    </row>
    <row r="201" spans="23:25" ht="12.75">
      <c r="W201" s="53">
        <v>32</v>
      </c>
      <c r="X201" s="53">
        <v>12</v>
      </c>
      <c r="Y201" s="53">
        <v>325.6</v>
      </c>
    </row>
    <row r="202" spans="3:25" ht="12.75">
      <c r="C202" s="53" t="s">
        <v>194</v>
      </c>
      <c r="W202" s="53">
        <v>43</v>
      </c>
      <c r="X202" s="53">
        <v>14</v>
      </c>
      <c r="Y202" s="53">
        <v>162.8</v>
      </c>
    </row>
    <row r="203" spans="3:25" ht="12.75">
      <c r="C203" s="53" t="s">
        <v>195</v>
      </c>
      <c r="W203" s="53">
        <v>33</v>
      </c>
      <c r="X203" s="53">
        <v>9</v>
      </c>
      <c r="Y203" s="53">
        <v>162.8</v>
      </c>
    </row>
    <row r="204" spans="3:25" ht="12.75">
      <c r="C204" s="53" t="s">
        <v>196</v>
      </c>
      <c r="W204" s="53">
        <v>32</v>
      </c>
      <c r="X204" s="53">
        <v>13</v>
      </c>
      <c r="Y204" s="53">
        <v>384.8</v>
      </c>
    </row>
    <row r="205" spans="3:25" ht="12.75">
      <c r="C205" s="53" t="s">
        <v>200</v>
      </c>
      <c r="T205" s="59">
        <v>1999</v>
      </c>
      <c r="U205" s="100" t="s">
        <v>556</v>
      </c>
      <c r="W205" s="53">
        <v>28</v>
      </c>
      <c r="X205" s="53">
        <v>15</v>
      </c>
      <c r="Y205" s="53">
        <v>159.1</v>
      </c>
    </row>
    <row r="206" spans="3:25" ht="12.75">
      <c r="C206" s="53" t="s">
        <v>197</v>
      </c>
      <c r="W206" s="53">
        <v>37</v>
      </c>
      <c r="X206" s="53">
        <v>19</v>
      </c>
      <c r="Y206" s="53">
        <v>270.1</v>
      </c>
    </row>
    <row r="207" spans="3:25" ht="12.75">
      <c r="C207" s="53" t="s">
        <v>198</v>
      </c>
      <c r="W207" s="53">
        <v>36</v>
      </c>
      <c r="X207" s="53">
        <v>19</v>
      </c>
      <c r="Y207" s="53">
        <v>162.8</v>
      </c>
    </row>
    <row r="208" spans="3:25" ht="12.75">
      <c r="C208" s="53" t="s">
        <v>366</v>
      </c>
      <c r="W208" s="53">
        <v>24</v>
      </c>
      <c r="X208" s="53">
        <v>12</v>
      </c>
      <c r="Y208" s="53">
        <v>503.2</v>
      </c>
    </row>
    <row r="209" spans="3:25" ht="12.75">
      <c r="C209" s="53" t="s">
        <v>367</v>
      </c>
      <c r="W209" s="53">
        <v>28</v>
      </c>
      <c r="X209" s="53">
        <v>14</v>
      </c>
      <c r="Y209" s="53">
        <v>266.4</v>
      </c>
    </row>
    <row r="210" spans="3:25" ht="12.75">
      <c r="C210" s="53" t="s">
        <v>199</v>
      </c>
      <c r="W210" s="53">
        <v>20</v>
      </c>
      <c r="X210" s="53">
        <v>9</v>
      </c>
      <c r="Y210" s="53">
        <v>148</v>
      </c>
    </row>
    <row r="211" spans="23:25" ht="12.75">
      <c r="W211" s="53">
        <v>29</v>
      </c>
      <c r="X211" s="53">
        <v>15</v>
      </c>
      <c r="Y211" s="53">
        <v>592</v>
      </c>
    </row>
    <row r="212" spans="7:25" ht="12.75">
      <c r="G212" s="53" t="s">
        <v>154</v>
      </c>
      <c r="I212" s="53">
        <v>1999</v>
      </c>
      <c r="T212" s="59">
        <v>2000</v>
      </c>
      <c r="U212" s="100" t="s">
        <v>557</v>
      </c>
      <c r="W212" s="53">
        <v>37</v>
      </c>
      <c r="X212" s="53">
        <v>15</v>
      </c>
      <c r="Y212" s="53">
        <v>355.2</v>
      </c>
    </row>
    <row r="213" spans="23:25" ht="12.75">
      <c r="W213" s="53">
        <v>43</v>
      </c>
      <c r="X213" s="53">
        <v>19</v>
      </c>
      <c r="Y213" s="53">
        <v>1095.2</v>
      </c>
    </row>
    <row r="214" spans="7:25" ht="12.75">
      <c r="G214" s="53" t="s">
        <v>55</v>
      </c>
      <c r="H214" s="53" t="s">
        <v>150</v>
      </c>
      <c r="I214" s="53" t="s">
        <v>151</v>
      </c>
      <c r="J214" s="53" t="s">
        <v>63</v>
      </c>
      <c r="K214" s="53" t="s">
        <v>153</v>
      </c>
      <c r="W214" s="53">
        <v>41</v>
      </c>
      <c r="X214" s="53">
        <v>19</v>
      </c>
      <c r="Y214" s="53">
        <v>976.8</v>
      </c>
    </row>
    <row r="215" spans="7:25" ht="12.75">
      <c r="G215" s="53" t="s">
        <v>155</v>
      </c>
      <c r="H215" s="53" t="s">
        <v>147</v>
      </c>
      <c r="I215" s="53" t="s">
        <v>148</v>
      </c>
      <c r="J215" s="53" t="s">
        <v>152</v>
      </c>
      <c r="K215" s="53" t="s">
        <v>149</v>
      </c>
      <c r="W215" s="53">
        <v>41</v>
      </c>
      <c r="X215" s="53">
        <v>18</v>
      </c>
      <c r="Y215" s="53">
        <v>858.4</v>
      </c>
    </row>
    <row r="216" spans="6:11" ht="12.75">
      <c r="F216" s="53" t="s">
        <v>163</v>
      </c>
      <c r="G216" s="53">
        <v>14</v>
      </c>
      <c r="H216" s="53">
        <v>24</v>
      </c>
      <c r="I216" s="53">
        <v>24.25</v>
      </c>
      <c r="J216" s="53">
        <v>28</v>
      </c>
      <c r="K216" s="53">
        <v>34.5</v>
      </c>
    </row>
    <row r="217" spans="6:11" ht="12.75">
      <c r="F217" s="53" t="s">
        <v>164</v>
      </c>
      <c r="G217" s="53">
        <v>0</v>
      </c>
      <c r="H217" s="53">
        <v>2.8</v>
      </c>
      <c r="I217" s="53">
        <v>3.77</v>
      </c>
      <c r="J217" s="53">
        <v>0</v>
      </c>
      <c r="K217" s="53">
        <v>2.1</v>
      </c>
    </row>
    <row r="218" spans="6:12" ht="12.75">
      <c r="F218" s="53" t="s">
        <v>165</v>
      </c>
      <c r="G218" s="53">
        <v>0</v>
      </c>
      <c r="H218" s="71" t="e">
        <f>(#REF!+#REF!)/2</f>
        <v>#REF!</v>
      </c>
      <c r="I218" s="71" t="e">
        <f>SUM(#REF!,#REF!,#REF!,#REF!)/4</f>
        <v>#REF!</v>
      </c>
      <c r="J218" s="53">
        <v>0.0349</v>
      </c>
      <c r="K218" s="71" t="e">
        <f>(#REF!+#REF!)/2</f>
        <v>#REF!</v>
      </c>
      <c r="L218" s="71"/>
    </row>
    <row r="219" spans="8:12" ht="12.75">
      <c r="H219" s="71"/>
      <c r="I219" s="71"/>
      <c r="K219" s="71"/>
      <c r="L219" s="71"/>
    </row>
    <row r="220" ht="12.75">
      <c r="I220" s="68"/>
    </row>
  </sheetData>
  <printOptions/>
  <pageMargins left="0.75" right="0.75" top="0.72" bottom="0.57" header="0.5" footer="0.5"/>
  <pageSetup fitToHeight="1" fitToWidth="1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workbookViewId="0" topLeftCell="D1">
      <selection activeCell="L4" sqref="L4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28.421875" style="0" customWidth="1"/>
    <col min="4" max="4" width="30.7109375" style="0" customWidth="1"/>
    <col min="5" max="5" width="11.7109375" style="4" customWidth="1"/>
    <col min="6" max="6" width="12.8515625" style="4" customWidth="1"/>
    <col min="7" max="7" width="13.421875" style="4" customWidth="1"/>
    <col min="11" max="12" width="9.140625" style="4" customWidth="1"/>
  </cols>
  <sheetData>
    <row r="1" spans="1:12" ht="12.75">
      <c r="A1" s="22" t="s">
        <v>428</v>
      </c>
      <c r="E1" s="39" t="s">
        <v>369</v>
      </c>
      <c r="F1" s="39" t="s">
        <v>370</v>
      </c>
      <c r="G1" s="39" t="s">
        <v>371</v>
      </c>
      <c r="H1" s="39" t="s">
        <v>105</v>
      </c>
      <c r="K1" s="43" t="s">
        <v>439</v>
      </c>
      <c r="L1" s="43" t="s">
        <v>439</v>
      </c>
    </row>
    <row r="2" spans="1:12" ht="13.5" thickBot="1">
      <c r="A2" s="10" t="s">
        <v>1</v>
      </c>
      <c r="B2" s="10" t="s">
        <v>2</v>
      </c>
      <c r="C2" s="10" t="s">
        <v>3</v>
      </c>
      <c r="D2" s="10" t="s">
        <v>4</v>
      </c>
      <c r="E2" s="40" t="s">
        <v>243</v>
      </c>
      <c r="F2" s="40" t="s">
        <v>243</v>
      </c>
      <c r="G2" s="40" t="s">
        <v>243</v>
      </c>
      <c r="H2" s="41" t="s">
        <v>429</v>
      </c>
      <c r="K2" s="40" t="s">
        <v>437</v>
      </c>
      <c r="L2" s="40" t="s">
        <v>438</v>
      </c>
    </row>
    <row r="3" spans="1:12" ht="13.5" thickTop="1">
      <c r="A3" t="s">
        <v>8</v>
      </c>
      <c r="B3" t="s">
        <v>9</v>
      </c>
      <c r="C3" t="s">
        <v>10</v>
      </c>
      <c r="D3" t="s">
        <v>276</v>
      </c>
      <c r="E3" s="23">
        <v>19.47302775179295</v>
      </c>
      <c r="F3" s="23">
        <v>9.75269616957977</v>
      </c>
      <c r="G3" s="23">
        <v>1.4758881070876952</v>
      </c>
      <c r="H3" s="4">
        <v>4</v>
      </c>
      <c r="I3" t="s">
        <v>401</v>
      </c>
      <c r="K3" s="23">
        <f>MIN(E3,G3)/MAX(E3,G3)</f>
        <v>0.07579140367382288</v>
      </c>
      <c r="L3" s="23">
        <f>MIN(F3,G3)/MAX(F3,G3)</f>
        <v>0.15133129151415872</v>
      </c>
    </row>
    <row r="4" spans="4:12" ht="12.75">
      <c r="D4" t="s">
        <v>279</v>
      </c>
      <c r="E4" s="23">
        <v>0</v>
      </c>
      <c r="F4" s="23">
        <v>0.32539977686872446</v>
      </c>
      <c r="G4" s="23">
        <v>0.10296893770379269</v>
      </c>
      <c r="H4" s="4">
        <v>4</v>
      </c>
      <c r="L4" s="23">
        <f>MIN(F4,G4)/MAX(F4,G4)</f>
        <v>0.3164382554119983</v>
      </c>
    </row>
    <row r="5" spans="4:8" ht="12.75">
      <c r="D5" t="s">
        <v>203</v>
      </c>
      <c r="E5" s="23">
        <v>0.0077954474586841285</v>
      </c>
      <c r="F5" s="23">
        <v>0</v>
      </c>
      <c r="G5" s="23">
        <v>0</v>
      </c>
      <c r="H5" s="4">
        <v>2</v>
      </c>
    </row>
    <row r="6" spans="3:12" ht="12.75">
      <c r="C6" t="s">
        <v>11</v>
      </c>
      <c r="D6" t="s">
        <v>12</v>
      </c>
      <c r="E6" s="23">
        <v>8.769878391019645</v>
      </c>
      <c r="F6" s="23">
        <v>18.036444775009297</v>
      </c>
      <c r="G6" s="23">
        <v>8.855328642526171</v>
      </c>
      <c r="H6" s="4">
        <v>2</v>
      </c>
      <c r="I6" t="s">
        <v>402</v>
      </c>
      <c r="K6" s="23">
        <f>MIN(E6,G6)/MAX(E6,G6)</f>
        <v>0.9903504144277417</v>
      </c>
      <c r="L6" s="23">
        <f>MIN(F6,G6)/MAX(F6,G6)</f>
        <v>0.49096863339696645</v>
      </c>
    </row>
    <row r="7" spans="4:8" ht="12.75">
      <c r="D7" t="s">
        <v>178</v>
      </c>
      <c r="E7" s="23">
        <v>0.023386342376052385</v>
      </c>
      <c r="F7" s="23">
        <v>0</v>
      </c>
      <c r="G7" s="23">
        <v>0</v>
      </c>
      <c r="H7" s="4">
        <v>1</v>
      </c>
    </row>
    <row r="8" spans="4:8" ht="12.75">
      <c r="D8" t="s">
        <v>112</v>
      </c>
      <c r="E8" s="23">
        <v>0.023386342376052385</v>
      </c>
      <c r="F8" s="23">
        <v>0.009297136481963555</v>
      </c>
      <c r="G8" s="23">
        <v>0</v>
      </c>
      <c r="H8" s="4">
        <v>0</v>
      </c>
    </row>
    <row r="9" spans="4:12" ht="12.75">
      <c r="D9" t="s">
        <v>13</v>
      </c>
      <c r="E9" s="23">
        <v>0.44434050514499535</v>
      </c>
      <c r="F9" s="23">
        <v>0.5113425065079955</v>
      </c>
      <c r="G9" s="23">
        <v>0.22309936502488417</v>
      </c>
      <c r="H9" s="4">
        <v>0</v>
      </c>
      <c r="K9" s="23">
        <f>MIN(E9,G9)/MAX(E9,G9)</f>
        <v>0.5020909920244235</v>
      </c>
      <c r="L9" s="23">
        <f>MIN(F9,G9)/MAX(F9,G9)</f>
        <v>0.43630123094684625</v>
      </c>
    </row>
    <row r="10" spans="4:8" ht="12.75">
      <c r="D10" t="s">
        <v>135</v>
      </c>
      <c r="E10" s="23">
        <v>0.0077954474586841285</v>
      </c>
      <c r="F10" s="23">
        <v>0</v>
      </c>
      <c r="G10" s="23">
        <v>0</v>
      </c>
      <c r="H10" s="4">
        <v>0</v>
      </c>
    </row>
    <row r="11" spans="4:8" ht="12.75">
      <c r="D11" t="s">
        <v>127</v>
      </c>
      <c r="E11" s="23">
        <v>0.023386342376052385</v>
      </c>
      <c r="F11" s="23">
        <v>0</v>
      </c>
      <c r="G11" s="23">
        <v>0</v>
      </c>
      <c r="H11" s="4">
        <v>1</v>
      </c>
    </row>
    <row r="12" spans="4:12" ht="12.75">
      <c r="D12" t="s">
        <v>14</v>
      </c>
      <c r="E12" s="23">
        <v>1.083567196757094</v>
      </c>
      <c r="F12" s="23">
        <v>0.42766827817032355</v>
      </c>
      <c r="G12" s="23">
        <v>0.44619873004976834</v>
      </c>
      <c r="H12" s="4">
        <v>3</v>
      </c>
      <c r="K12" s="23">
        <f>MIN(E12,G12)/MAX(E12,G12)</f>
        <v>0.41178685676823223</v>
      </c>
      <c r="L12" s="23">
        <f>MIN(F12,G12)/MAX(F12,G12)</f>
        <v>0.9584704064994135</v>
      </c>
    </row>
    <row r="13" spans="3:12" ht="12.75">
      <c r="C13" t="s">
        <v>191</v>
      </c>
      <c r="D13" t="s">
        <v>192</v>
      </c>
      <c r="E13" s="23">
        <v>0.14811350171499843</v>
      </c>
      <c r="F13" s="23">
        <v>4.639271104499814</v>
      </c>
      <c r="G13" s="23">
        <v>2.1623476917796465</v>
      </c>
      <c r="H13" s="4">
        <v>1</v>
      </c>
      <c r="I13" t="s">
        <v>402</v>
      </c>
      <c r="K13" s="23">
        <f>MIN(E13,G13)/MAX(E13,G13)</f>
        <v>0.06849661702327745</v>
      </c>
      <c r="L13" s="23">
        <f>MIN(F13,G13)/MAX(F13,G13)</f>
        <v>0.46609642831226206</v>
      </c>
    </row>
    <row r="14" spans="3:12" ht="12.75">
      <c r="C14" t="s">
        <v>93</v>
      </c>
      <c r="D14" t="s">
        <v>94</v>
      </c>
      <c r="E14" s="23">
        <v>0.2806361085126286</v>
      </c>
      <c r="F14" s="23">
        <v>6.666046857567869</v>
      </c>
      <c r="G14" s="23">
        <v>7.9457696928093355</v>
      </c>
      <c r="H14" s="4">
        <v>4</v>
      </c>
      <c r="I14" t="s">
        <v>402</v>
      </c>
      <c r="K14" s="23">
        <f>MIN(E14,G14)/MAX(E14,G14)</f>
        <v>0.035318933138295615</v>
      </c>
      <c r="L14" s="23">
        <f>MIN(F14,G14)/MAX(F14,G14)</f>
        <v>0.8389428734135631</v>
      </c>
    </row>
    <row r="15" spans="4:8" ht="12.75">
      <c r="D15" t="s">
        <v>375</v>
      </c>
      <c r="E15" s="23">
        <v>0</v>
      </c>
      <c r="F15" s="23">
        <v>0.01859427296392711</v>
      </c>
      <c r="G15" s="23">
        <v>0</v>
      </c>
      <c r="H15" s="4">
        <v>2</v>
      </c>
    </row>
    <row r="16" spans="4:9" ht="12.75">
      <c r="D16" t="s">
        <v>95</v>
      </c>
      <c r="E16" s="23">
        <v>0.5144995322731525</v>
      </c>
      <c r="F16" s="23">
        <v>0.01859427296392711</v>
      </c>
      <c r="G16" s="23">
        <v>0</v>
      </c>
      <c r="H16" s="4">
        <v>0</v>
      </c>
      <c r="I16" t="s">
        <v>401</v>
      </c>
    </row>
    <row r="17" spans="4:8" ht="12.75">
      <c r="D17" t="s">
        <v>303</v>
      </c>
      <c r="E17" s="23">
        <v>0</v>
      </c>
      <c r="F17" s="23">
        <v>0.009297136481963555</v>
      </c>
      <c r="G17" s="23">
        <v>0</v>
      </c>
      <c r="H17" s="4">
        <v>0</v>
      </c>
    </row>
    <row r="18" spans="3:8" ht="12.75">
      <c r="C18" t="s">
        <v>141</v>
      </c>
      <c r="D18" t="s">
        <v>142</v>
      </c>
      <c r="E18" s="23">
        <v>0.015590894917368257</v>
      </c>
      <c r="F18" s="23">
        <v>0</v>
      </c>
      <c r="G18" s="23">
        <v>0</v>
      </c>
      <c r="H18" s="4">
        <v>2</v>
      </c>
    </row>
    <row r="19" spans="3:12" ht="12.75">
      <c r="C19" t="s">
        <v>137</v>
      </c>
      <c r="D19" t="s">
        <v>18</v>
      </c>
      <c r="E19" s="23">
        <v>0.28843155597131276</v>
      </c>
      <c r="F19" s="23">
        <v>0.11156563778356267</v>
      </c>
      <c r="G19" s="23">
        <v>0.24026085464218294</v>
      </c>
      <c r="H19" s="4">
        <v>0</v>
      </c>
      <c r="K19" s="23">
        <f>MIN(E19,G19)/MAX(E19,G19)</f>
        <v>0.8329908765810602</v>
      </c>
      <c r="L19" s="23">
        <f aca="true" t="shared" si="0" ref="L19:L24">MIN(F19,G19)/MAX(F19,G19)</f>
        <v>0.46435212240344265</v>
      </c>
    </row>
    <row r="20" spans="2:12" ht="12.75">
      <c r="B20" t="s">
        <v>19</v>
      </c>
      <c r="C20" t="s">
        <v>20</v>
      </c>
      <c r="D20" t="s">
        <v>168</v>
      </c>
      <c r="E20" s="23">
        <v>26.60586217648893</v>
      </c>
      <c r="F20" s="23">
        <v>9.576050576422462</v>
      </c>
      <c r="G20" s="23">
        <v>7.345117556203879</v>
      </c>
      <c r="H20" s="4">
        <v>1</v>
      </c>
      <c r="I20" t="s">
        <v>401</v>
      </c>
      <c r="K20" s="23">
        <f>MIN(E20,G20)/MAX(E20,G20)</f>
        <v>0.2760713976296026</v>
      </c>
      <c r="L20" s="23">
        <f t="shared" si="0"/>
        <v>0.7670299459663001</v>
      </c>
    </row>
    <row r="21" spans="4:12" ht="12.75">
      <c r="D21" t="s">
        <v>21</v>
      </c>
      <c r="E21" s="23">
        <v>0.34299968818210164</v>
      </c>
      <c r="F21" s="23">
        <v>0.9111193752324284</v>
      </c>
      <c r="G21" s="23">
        <v>0.549167667753561</v>
      </c>
      <c r="H21" s="4">
        <v>1</v>
      </c>
      <c r="K21" s="23">
        <f>MIN(E21,G21)/MAX(E21,G21)</f>
        <v>0.6245809946990958</v>
      </c>
      <c r="L21" s="23">
        <f t="shared" si="0"/>
        <v>0.602739534118092</v>
      </c>
    </row>
    <row r="22" spans="3:12" ht="12.75">
      <c r="C22" t="s">
        <v>36</v>
      </c>
      <c r="D22" t="s">
        <v>277</v>
      </c>
      <c r="E22" s="23">
        <v>0</v>
      </c>
      <c r="F22" s="23">
        <v>0.5671253253997769</v>
      </c>
      <c r="G22" s="23">
        <v>0.6692980950746524</v>
      </c>
      <c r="H22" s="4">
        <v>1</v>
      </c>
      <c r="L22" s="23">
        <f t="shared" si="0"/>
        <v>0.8473434028473077</v>
      </c>
    </row>
    <row r="23" spans="4:12" ht="12.75">
      <c r="D23" t="s">
        <v>37</v>
      </c>
      <c r="E23" s="23">
        <v>1.8709073900841908</v>
      </c>
      <c r="F23" s="23">
        <v>1.1528449237634808</v>
      </c>
      <c r="G23" s="23">
        <v>1.5273725759395915</v>
      </c>
      <c r="H23" s="4">
        <v>1</v>
      </c>
      <c r="K23" s="23">
        <f>MIN(E23,G23)/MAX(E23,G23)</f>
        <v>0.8163806418397117</v>
      </c>
      <c r="L23" s="23">
        <f t="shared" si="0"/>
        <v>0.7547895922213261</v>
      </c>
    </row>
    <row r="24" spans="3:12" ht="12.75">
      <c r="C24" t="s">
        <v>114</v>
      </c>
      <c r="D24" t="s">
        <v>115</v>
      </c>
      <c r="E24" s="23">
        <v>0.015590894917368257</v>
      </c>
      <c r="F24" s="23">
        <v>0.8181480104127928</v>
      </c>
      <c r="G24" s="23">
        <v>0.01716148961729878</v>
      </c>
      <c r="H24" s="4">
        <v>2</v>
      </c>
      <c r="I24" t="s">
        <v>402</v>
      </c>
      <c r="K24" s="23">
        <f>MIN(E24,G24)/MAX(E24,G24)</f>
        <v>0.9084814468350484</v>
      </c>
      <c r="L24" s="23">
        <f t="shared" si="0"/>
        <v>0.020976020718598373</v>
      </c>
    </row>
    <row r="25" spans="4:8" ht="12.75">
      <c r="D25" t="s">
        <v>376</v>
      </c>
      <c r="E25" s="23">
        <v>0</v>
      </c>
      <c r="F25" s="23">
        <v>0.009297136481963555</v>
      </c>
      <c r="G25" s="23">
        <v>0</v>
      </c>
      <c r="H25" s="4">
        <v>2</v>
      </c>
    </row>
    <row r="26" spans="3:12" ht="12.75">
      <c r="C26" t="s">
        <v>116</v>
      </c>
      <c r="D26" t="s">
        <v>117</v>
      </c>
      <c r="E26" s="23">
        <v>0.07795447458684128</v>
      </c>
      <c r="F26" s="23">
        <v>0.04648568240981778</v>
      </c>
      <c r="G26" s="23">
        <v>0.1887763857902866</v>
      </c>
      <c r="H26" s="4">
        <v>2</v>
      </c>
      <c r="K26" s="23">
        <f>MIN(E26,G26)/MAX(E26,G26)</f>
        <v>0.4129461121977492</v>
      </c>
      <c r="L26" s="23">
        <f>MIN(F26,G26)/MAX(F26,G26)</f>
        <v>0.24624733763818926</v>
      </c>
    </row>
    <row r="27" spans="3:8" ht="12.75">
      <c r="C27" t="s">
        <v>91</v>
      </c>
      <c r="D27" t="s">
        <v>120</v>
      </c>
      <c r="E27" s="23">
        <v>0.023386342376052385</v>
      </c>
      <c r="F27" s="23">
        <v>0</v>
      </c>
      <c r="G27" s="23">
        <v>0</v>
      </c>
      <c r="H27" s="4">
        <v>2</v>
      </c>
    </row>
    <row r="28" spans="4:12" ht="12.75">
      <c r="D28" t="s">
        <v>270</v>
      </c>
      <c r="E28" s="23">
        <v>0.10134081696289367</v>
      </c>
      <c r="F28" s="23">
        <v>0.04648568240981778</v>
      </c>
      <c r="G28" s="23">
        <v>0.051484468851896344</v>
      </c>
      <c r="H28" s="4">
        <v>2</v>
      </c>
      <c r="K28" s="23">
        <f>MIN(E28,G28)/MAX(E28,G28)</f>
        <v>0.5080328972554817</v>
      </c>
      <c r="L28" s="23">
        <f>MIN(F28,G28)/MAX(F28,G28)</f>
        <v>0.9029069046733607</v>
      </c>
    </row>
    <row r="29" spans="4:8" ht="12.75">
      <c r="D29" t="s">
        <v>377</v>
      </c>
      <c r="E29" s="23">
        <v>0</v>
      </c>
      <c r="F29" s="23">
        <v>0.009297136481963555</v>
      </c>
      <c r="G29" s="23">
        <v>0</v>
      </c>
      <c r="H29" s="4">
        <v>2</v>
      </c>
    </row>
    <row r="30" spans="4:12" ht="12.75">
      <c r="D30" t="s">
        <v>92</v>
      </c>
      <c r="E30" s="23">
        <v>0.07015902712815715</v>
      </c>
      <c r="F30" s="23">
        <v>0.17664559315730755</v>
      </c>
      <c r="G30" s="23">
        <v>0.15445340655568904</v>
      </c>
      <c r="H30" s="4">
        <v>2</v>
      </c>
      <c r="K30" s="23">
        <f>MIN(E30,G30)/MAX(E30,G30)</f>
        <v>0.45424072341752414</v>
      </c>
      <c r="L30" s="23">
        <f>MIN(F30,G30)/MAX(F30,G30)</f>
        <v>0.8743688636384165</v>
      </c>
    </row>
    <row r="31" spans="3:8" ht="12.75">
      <c r="C31" t="s">
        <v>118</v>
      </c>
      <c r="D31" t="s">
        <v>119</v>
      </c>
      <c r="E31" s="23">
        <v>0.015590894917368257</v>
      </c>
      <c r="F31" s="23">
        <v>0</v>
      </c>
      <c r="G31" s="23">
        <v>0</v>
      </c>
      <c r="H31" s="4">
        <v>1</v>
      </c>
    </row>
    <row r="32" spans="4:9" ht="12.75">
      <c r="D32" t="s">
        <v>307</v>
      </c>
      <c r="E32" s="23">
        <v>0</v>
      </c>
      <c r="F32" s="23">
        <v>0.03718854592785422</v>
      </c>
      <c r="G32" s="23">
        <v>0</v>
      </c>
      <c r="H32" s="4">
        <v>1</v>
      </c>
      <c r="I32" t="s">
        <v>403</v>
      </c>
    </row>
    <row r="33" spans="3:9" ht="12.75">
      <c r="C33" t="s">
        <v>284</v>
      </c>
      <c r="D33" t="s">
        <v>285</v>
      </c>
      <c r="E33" s="23">
        <v>0</v>
      </c>
      <c r="F33" s="23">
        <v>0.027891409445890667</v>
      </c>
      <c r="G33" s="23">
        <v>0</v>
      </c>
      <c r="H33" s="4">
        <v>0</v>
      </c>
      <c r="I33" t="s">
        <v>403</v>
      </c>
    </row>
    <row r="34" spans="2:12" ht="12.75">
      <c r="B34" t="s">
        <v>22</v>
      </c>
      <c r="C34" t="s">
        <v>89</v>
      </c>
      <c r="D34" t="s">
        <v>90</v>
      </c>
      <c r="E34" s="23">
        <v>0.11693171188026193</v>
      </c>
      <c r="F34" s="23">
        <v>0.06507995537374489</v>
      </c>
      <c r="G34" s="23">
        <v>0.051484468851896344</v>
      </c>
      <c r="H34" s="4">
        <v>0</v>
      </c>
      <c r="K34" s="23">
        <f>MIN(E34,G34)/MAX(E34,G34)</f>
        <v>0.4402951776214175</v>
      </c>
      <c r="L34" s="23">
        <f>MIN(F34,G34)/MAX(F34,G34)</f>
        <v>0.7910956385299958</v>
      </c>
    </row>
    <row r="35" spans="4:8" ht="12.75">
      <c r="D35" t="s">
        <v>211</v>
      </c>
      <c r="E35" s="23">
        <v>0.023386342376052385</v>
      </c>
      <c r="F35" s="23">
        <v>0.009297136481963555</v>
      </c>
      <c r="G35" s="23">
        <v>0</v>
      </c>
      <c r="H35" s="4">
        <v>0</v>
      </c>
    </row>
    <row r="36" spans="4:8" ht="12.75">
      <c r="D36" t="s">
        <v>133</v>
      </c>
      <c r="E36" s="23">
        <v>0.015590894917368257</v>
      </c>
      <c r="F36" s="23">
        <v>0.009297136481963555</v>
      </c>
      <c r="G36" s="23">
        <v>0</v>
      </c>
      <c r="H36" s="4">
        <v>0</v>
      </c>
    </row>
    <row r="37" spans="4:8" ht="12.75">
      <c r="D37" t="s">
        <v>128</v>
      </c>
      <c r="E37" s="23">
        <v>0.015590894917368257</v>
      </c>
      <c r="F37" s="23">
        <v>0</v>
      </c>
      <c r="G37" s="23">
        <v>0</v>
      </c>
      <c r="H37" s="4">
        <v>0</v>
      </c>
    </row>
    <row r="38" spans="4:8" ht="12.75">
      <c r="D38" t="s">
        <v>134</v>
      </c>
      <c r="E38" s="23">
        <v>0.015590894917368257</v>
      </c>
      <c r="F38" s="23">
        <v>0</v>
      </c>
      <c r="G38" s="23">
        <v>0</v>
      </c>
      <c r="H38" s="4">
        <v>0</v>
      </c>
    </row>
    <row r="39" spans="3:9" ht="12.75">
      <c r="C39" t="s">
        <v>212</v>
      </c>
      <c r="D39" t="s">
        <v>213</v>
      </c>
      <c r="E39" s="23">
        <v>0.0077954474586841285</v>
      </c>
      <c r="F39" s="23">
        <v>0.16734845667534398</v>
      </c>
      <c r="G39" s="23">
        <v>0</v>
      </c>
      <c r="H39" s="4">
        <v>4</v>
      </c>
      <c r="I39" t="s">
        <v>402</v>
      </c>
    </row>
    <row r="40" spans="4:12" ht="12.75">
      <c r="D40" t="s">
        <v>278</v>
      </c>
      <c r="E40" s="23">
        <v>0</v>
      </c>
      <c r="F40" s="23">
        <v>0.027891409445890667</v>
      </c>
      <c r="G40" s="23">
        <v>0.01716148961729878</v>
      </c>
      <c r="H40" s="4">
        <v>4</v>
      </c>
      <c r="I40" t="s">
        <v>403</v>
      </c>
      <c r="L40" s="23">
        <f>MIN(F40,G40)/MAX(F40,G40)</f>
        <v>0.6152966077455523</v>
      </c>
    </row>
    <row r="41" spans="3:12" ht="12.75">
      <c r="C41" t="s">
        <v>286</v>
      </c>
      <c r="D41" t="s">
        <v>287</v>
      </c>
      <c r="E41" s="23">
        <v>0</v>
      </c>
      <c r="F41" s="23">
        <v>0.03718854592785422</v>
      </c>
      <c r="G41" s="23">
        <v>0.01716148961729878</v>
      </c>
      <c r="H41" s="4">
        <v>4</v>
      </c>
      <c r="L41" s="23">
        <f>MIN(F41,G41)/MAX(F41,G41)</f>
        <v>0.4614724558091642</v>
      </c>
    </row>
    <row r="42" spans="3:12" ht="12.75">
      <c r="C42" t="s">
        <v>315</v>
      </c>
      <c r="D42" t="s">
        <v>316</v>
      </c>
      <c r="E42" s="23">
        <v>0</v>
      </c>
      <c r="F42" s="23">
        <v>0.027891409445890667</v>
      </c>
      <c r="G42" s="23">
        <v>0.06864595846919512</v>
      </c>
      <c r="H42" s="4">
        <v>2</v>
      </c>
      <c r="L42" s="23">
        <f>MIN(F42,G42)/MAX(F42,G42)</f>
        <v>0.40630810710301235</v>
      </c>
    </row>
    <row r="43" spans="3:8" ht="12.75">
      <c r="C43" t="s">
        <v>214</v>
      </c>
      <c r="D43" t="s">
        <v>215</v>
      </c>
      <c r="E43" s="23">
        <v>0.0077954474586841285</v>
      </c>
      <c r="F43" s="23">
        <v>0</v>
      </c>
      <c r="G43" s="23">
        <v>0</v>
      </c>
      <c r="H43" s="4">
        <v>2</v>
      </c>
    </row>
    <row r="44" spans="4:9" ht="12.75">
      <c r="D44" t="s">
        <v>302</v>
      </c>
      <c r="E44" s="23">
        <v>0</v>
      </c>
      <c r="F44" s="23">
        <v>0.027891409445890667</v>
      </c>
      <c r="G44" s="23">
        <v>0</v>
      </c>
      <c r="H44" s="4">
        <v>2</v>
      </c>
      <c r="I44" t="s">
        <v>403</v>
      </c>
    </row>
    <row r="45" spans="3:12" ht="12.75">
      <c r="C45" t="s">
        <v>172</v>
      </c>
      <c r="D45" t="s">
        <v>173</v>
      </c>
      <c r="E45" s="23">
        <v>0.22606797630183972</v>
      </c>
      <c r="F45" s="23">
        <v>0.49274823354406844</v>
      </c>
      <c r="G45" s="23">
        <v>0.03432297923459756</v>
      </c>
      <c r="H45" s="4">
        <v>6</v>
      </c>
      <c r="K45" s="23">
        <f>MIN(E45,G45)/MAX(E45,G45)</f>
        <v>0.15182592331773018</v>
      </c>
      <c r="L45" s="23">
        <f>MIN(F45,G45)/MAX(F45,G45)</f>
        <v>0.0696562197447795</v>
      </c>
    </row>
    <row r="46" spans="3:8" ht="12.75">
      <c r="C46" t="s">
        <v>204</v>
      </c>
      <c r="D46" t="s">
        <v>205</v>
      </c>
      <c r="E46" s="23">
        <v>0.023386342376052385</v>
      </c>
      <c r="F46" s="23">
        <v>0</v>
      </c>
      <c r="G46" s="23">
        <v>0</v>
      </c>
      <c r="H46" s="4">
        <v>0</v>
      </c>
    </row>
    <row r="47" spans="3:12" ht="12.75">
      <c r="C47" t="s">
        <v>23</v>
      </c>
      <c r="D47" t="s">
        <v>24</v>
      </c>
      <c r="E47" s="23">
        <v>0.4599314000623636</v>
      </c>
      <c r="F47" s="23">
        <v>0.9576050576422462</v>
      </c>
      <c r="G47" s="23">
        <v>0.22309936502488417</v>
      </c>
      <c r="H47" s="4">
        <v>1</v>
      </c>
      <c r="K47" s="23">
        <f>MIN(E47,G47)/MAX(E47,G47)</f>
        <v>0.48507095839647696</v>
      </c>
      <c r="L47" s="23">
        <f>MIN(F47,G47)/MAX(F47,G47)</f>
        <v>0.2329763854570538</v>
      </c>
    </row>
    <row r="48" spans="4:12" ht="12.75">
      <c r="D48" t="s">
        <v>174</v>
      </c>
      <c r="E48" s="23">
        <v>0.20268163392578734</v>
      </c>
      <c r="F48" s="23">
        <v>2.110449981405727</v>
      </c>
      <c r="G48" s="23">
        <v>3.8098506950403297</v>
      </c>
      <c r="H48" s="4">
        <v>1</v>
      </c>
      <c r="I48" t="s">
        <v>402</v>
      </c>
      <c r="K48" s="23">
        <f>MIN(E48,G48)/MAX(E48,G48)</f>
        <v>0.05319936400385418</v>
      </c>
      <c r="L48" s="23">
        <f>MIN(F48,G48)/MAX(F48,G48)</f>
        <v>0.5539455874617645</v>
      </c>
    </row>
    <row r="49" spans="4:8" ht="12.75">
      <c r="D49" t="s">
        <v>294</v>
      </c>
      <c r="E49" s="23">
        <v>0</v>
      </c>
      <c r="F49" s="23">
        <v>0.009297136481963555</v>
      </c>
      <c r="G49" s="23">
        <v>0</v>
      </c>
      <c r="H49" s="4">
        <v>1</v>
      </c>
    </row>
    <row r="50" spans="3:12" ht="12.75">
      <c r="C50" t="s">
        <v>25</v>
      </c>
      <c r="D50" t="s">
        <v>28</v>
      </c>
      <c r="E50" s="23">
        <v>0.3819769254755223</v>
      </c>
      <c r="F50" s="23">
        <v>0.055782818891781334</v>
      </c>
      <c r="G50" s="23">
        <v>0.12013042732109147</v>
      </c>
      <c r="H50" s="4">
        <v>1</v>
      </c>
      <c r="I50" t="s">
        <v>401</v>
      </c>
      <c r="K50" s="23">
        <f>MIN(E50,G50)/MAX(E50,G50)</f>
        <v>0.3144965554438697</v>
      </c>
      <c r="L50" s="23">
        <f>MIN(F50,G50)/MAX(F50,G50)</f>
        <v>0.46435212240344265</v>
      </c>
    </row>
    <row r="51" spans="4:8" ht="12.75">
      <c r="D51" t="s">
        <v>29</v>
      </c>
      <c r="E51" s="23">
        <v>0.0545681322107889</v>
      </c>
      <c r="F51" s="23">
        <v>0.027891409445890667</v>
      </c>
      <c r="G51" s="23">
        <v>0</v>
      </c>
      <c r="H51" s="4">
        <v>0</v>
      </c>
    </row>
    <row r="52" spans="3:12" ht="12.75">
      <c r="C52" t="s">
        <v>26</v>
      </c>
      <c r="D52" t="s">
        <v>27</v>
      </c>
      <c r="E52" s="23">
        <v>0.1948861864671032</v>
      </c>
      <c r="F52" s="23">
        <v>0.009297136481963555</v>
      </c>
      <c r="G52" s="23">
        <v>0.051484468851896344</v>
      </c>
      <c r="H52" s="4">
        <v>3</v>
      </c>
      <c r="I52" t="s">
        <v>401</v>
      </c>
      <c r="K52" s="23">
        <f>MIN(E52,G52)/MAX(E52,G52)</f>
        <v>0.26417710657285054</v>
      </c>
      <c r="L52" s="23">
        <f>MIN(F52,G52)/MAX(F52,G52)</f>
        <v>0.18058138093467213</v>
      </c>
    </row>
    <row r="53" spans="3:12" ht="12.75">
      <c r="C53" s="1" t="s">
        <v>87</v>
      </c>
      <c r="D53" t="s">
        <v>88</v>
      </c>
      <c r="E53" s="23">
        <v>0.29622700342999686</v>
      </c>
      <c r="F53" s="23">
        <v>0.83674228337672</v>
      </c>
      <c r="G53" s="23">
        <v>0.0858074480864939</v>
      </c>
      <c r="H53" s="4">
        <v>0</v>
      </c>
      <c r="K53" s="23">
        <f>MIN(E53,G53)/MAX(E53,G53)</f>
        <v>0.2896678800140905</v>
      </c>
      <c r="L53" s="23">
        <f>MIN(F53,G53)/MAX(F53,G53)</f>
        <v>0.10254943462425871</v>
      </c>
    </row>
    <row r="54" spans="2:12" ht="12.75">
      <c r="B54" t="s">
        <v>38</v>
      </c>
      <c r="C54" s="1" t="s">
        <v>39</v>
      </c>
      <c r="D54" t="s">
        <v>40</v>
      </c>
      <c r="E54" s="23">
        <v>2.362020579981291</v>
      </c>
      <c r="F54" s="23">
        <v>3.300483451097062</v>
      </c>
      <c r="G54" s="23">
        <v>8.083061609747727</v>
      </c>
      <c r="H54" s="4">
        <v>4</v>
      </c>
      <c r="K54" s="23">
        <f>MIN(E54,G54)/MAX(E54,G54)</f>
        <v>0.2922185545552225</v>
      </c>
      <c r="L54" s="23">
        <f>MIN(F54,G54)/MAX(F54,G54)</f>
        <v>0.40832095689050063</v>
      </c>
    </row>
    <row r="55" spans="3:8" ht="12.75">
      <c r="C55" s="1"/>
      <c r="D55" t="s">
        <v>80</v>
      </c>
      <c r="E55" s="23">
        <v>0.1403180542563143</v>
      </c>
      <c r="F55" s="23">
        <v>0</v>
      </c>
      <c r="G55" s="23">
        <v>0</v>
      </c>
      <c r="H55" s="4">
        <v>4</v>
      </c>
    </row>
    <row r="56" spans="3:8" ht="12.75">
      <c r="C56" s="1"/>
      <c r="D56" t="s">
        <v>175</v>
      </c>
      <c r="E56" s="23">
        <v>0.0077954474586841285</v>
      </c>
      <c r="F56" s="23">
        <v>0</v>
      </c>
      <c r="G56" s="23">
        <v>0</v>
      </c>
      <c r="H56" s="4">
        <v>4</v>
      </c>
    </row>
    <row r="57" spans="3:8" ht="12.75">
      <c r="C57" s="1" t="s">
        <v>110</v>
      </c>
      <c r="D57" t="s">
        <v>111</v>
      </c>
      <c r="E57" s="23">
        <v>0.023386342376052385</v>
      </c>
      <c r="F57" s="23">
        <v>0</v>
      </c>
      <c r="G57" s="23">
        <v>0</v>
      </c>
      <c r="H57" s="4">
        <v>5</v>
      </c>
    </row>
    <row r="58" spans="3:8" ht="12.75">
      <c r="C58" s="1" t="s">
        <v>176</v>
      </c>
      <c r="D58" t="s">
        <v>177</v>
      </c>
      <c r="E58" s="23">
        <v>0.04677268475210477</v>
      </c>
      <c r="F58" s="23">
        <v>0</v>
      </c>
      <c r="G58" s="23">
        <v>0</v>
      </c>
      <c r="H58" s="4">
        <v>5</v>
      </c>
    </row>
    <row r="59" spans="2:8" ht="12.75">
      <c r="B59" t="s">
        <v>169</v>
      </c>
      <c r="C59" s="1" t="s">
        <v>170</v>
      </c>
      <c r="D59" t="s">
        <v>171</v>
      </c>
      <c r="E59" s="23">
        <v>0.015590894917368257</v>
      </c>
      <c r="F59" s="23">
        <v>0</v>
      </c>
      <c r="G59" s="23">
        <v>0</v>
      </c>
      <c r="H59" s="4">
        <v>4</v>
      </c>
    </row>
    <row r="60" spans="2:12" ht="12.75">
      <c r="B60" t="s">
        <v>30</v>
      </c>
      <c r="C60" t="s">
        <v>31</v>
      </c>
      <c r="D60" t="s">
        <v>96</v>
      </c>
      <c r="E60" s="23">
        <v>0.17149984409105082</v>
      </c>
      <c r="F60" s="23">
        <v>0.12086277426552622</v>
      </c>
      <c r="G60" s="23">
        <v>0.06864595846919512</v>
      </c>
      <c r="H60" s="4">
        <v>3</v>
      </c>
      <c r="K60" s="23">
        <f>MIN(E60,G60)/MAX(E60,G60)</f>
        <v>0.40026834329219774</v>
      </c>
      <c r="L60" s="23">
        <f>MIN(F60,G60)/MAX(F60,G60)</f>
        <v>0.5679660994574328</v>
      </c>
    </row>
    <row r="61" spans="4:8" ht="12.75">
      <c r="D61" t="s">
        <v>295</v>
      </c>
      <c r="E61" s="23">
        <v>0</v>
      </c>
      <c r="F61" s="23">
        <v>0.009297136481963555</v>
      </c>
      <c r="G61" s="23">
        <v>0</v>
      </c>
      <c r="H61" s="4">
        <v>3</v>
      </c>
    </row>
    <row r="62" spans="4:12" ht="12.75">
      <c r="D62" t="s">
        <v>35</v>
      </c>
      <c r="E62" s="23">
        <v>0.7795447458684128</v>
      </c>
      <c r="F62" s="23">
        <v>0.19523986612123467</v>
      </c>
      <c r="G62" s="23">
        <v>0.10296893770379269</v>
      </c>
      <c r="H62" s="4">
        <v>1</v>
      </c>
      <c r="I62" t="s">
        <v>401</v>
      </c>
      <c r="K62" s="23">
        <f>MIN(E62,G62)/MAX(E62,G62)</f>
        <v>0.13208855328642527</v>
      </c>
      <c r="L62" s="23">
        <f>MIN(F62,G62)/MAX(F62,G62)</f>
        <v>0.5273970923533305</v>
      </c>
    </row>
    <row r="63" spans="4:12" ht="12.75">
      <c r="D63" t="s">
        <v>32</v>
      </c>
      <c r="E63" s="23">
        <v>0.8263174306205177</v>
      </c>
      <c r="F63" s="23">
        <v>0.14875418371141688</v>
      </c>
      <c r="G63" s="23">
        <v>0.6521366054573537</v>
      </c>
      <c r="H63" s="4">
        <v>2</v>
      </c>
      <c r="I63" t="s">
        <v>401</v>
      </c>
      <c r="K63" s="23">
        <f>MIN(E63,G63)/MAX(E63,G63)</f>
        <v>0.7892083372459371</v>
      </c>
      <c r="L63" s="23">
        <f>MIN(F63,G63)/MAX(F63,G63)</f>
        <v>0.22810279697011213</v>
      </c>
    </row>
    <row r="64" spans="4:12" ht="12.75">
      <c r="D64" t="s">
        <v>288</v>
      </c>
      <c r="E64" s="23">
        <v>0</v>
      </c>
      <c r="F64" s="23">
        <v>0.13945704722945332</v>
      </c>
      <c r="G64" s="23">
        <v>0.051484468851896344</v>
      </c>
      <c r="H64" s="4">
        <v>3</v>
      </c>
      <c r="L64" s="23">
        <f>MIN(F64,G64)/MAX(F64,G64)</f>
        <v>0.36917796464733144</v>
      </c>
    </row>
    <row r="65" spans="4:8" ht="12.75">
      <c r="D65" t="s">
        <v>308</v>
      </c>
      <c r="E65" s="23">
        <v>0</v>
      </c>
      <c r="F65" s="23">
        <v>0</v>
      </c>
      <c r="G65" s="23">
        <v>0.01716148961729878</v>
      </c>
      <c r="H65" s="4">
        <v>3</v>
      </c>
    </row>
    <row r="66" spans="3:8" ht="12.75">
      <c r="C66" t="s">
        <v>97</v>
      </c>
      <c r="D66" t="s">
        <v>98</v>
      </c>
      <c r="E66" s="23">
        <v>0.0077954474586841285</v>
      </c>
      <c r="F66" s="23">
        <v>0</v>
      </c>
      <c r="G66" s="23">
        <v>0</v>
      </c>
      <c r="H66" s="4">
        <v>4</v>
      </c>
    </row>
    <row r="67" spans="3:8" ht="12.75">
      <c r="C67" t="s">
        <v>385</v>
      </c>
      <c r="D67" t="s">
        <v>386</v>
      </c>
      <c r="E67" s="23">
        <v>0</v>
      </c>
      <c r="F67" s="23">
        <v>0.009297136481963555</v>
      </c>
      <c r="G67" s="23">
        <v>0</v>
      </c>
      <c r="H67" s="4">
        <v>7</v>
      </c>
    </row>
    <row r="68" spans="3:12" ht="12.75">
      <c r="C68" t="s">
        <v>81</v>
      </c>
      <c r="D68" t="s">
        <v>82</v>
      </c>
      <c r="E68" s="23">
        <v>0.23386342376052385</v>
      </c>
      <c r="F68" s="23">
        <v>0.4555596876162142</v>
      </c>
      <c r="G68" s="23">
        <v>0.10296893770379269</v>
      </c>
      <c r="H68" s="4">
        <v>5</v>
      </c>
      <c r="K68" s="23">
        <f>MIN(E68,G68)/MAX(E68,G68)</f>
        <v>0.4402951776214175</v>
      </c>
      <c r="L68" s="23">
        <f>MIN(F68,G68)/MAX(F68,G68)</f>
        <v>0.22602732529428454</v>
      </c>
    </row>
    <row r="69" spans="3:8" ht="12.75">
      <c r="C69" t="s">
        <v>304</v>
      </c>
      <c r="D69" t="s">
        <v>305</v>
      </c>
      <c r="E69" s="23">
        <v>0</v>
      </c>
      <c r="F69" s="23">
        <v>0.009297136481963555</v>
      </c>
      <c r="G69" s="23">
        <v>0</v>
      </c>
      <c r="H69" s="4">
        <v>6</v>
      </c>
    </row>
    <row r="70" spans="3:12" ht="12.75">
      <c r="C70" t="s">
        <v>33</v>
      </c>
      <c r="D70" t="s">
        <v>34</v>
      </c>
      <c r="E70" s="23">
        <v>0.1091362644215778</v>
      </c>
      <c r="F70" s="23">
        <v>1.1435477872815174</v>
      </c>
      <c r="G70" s="23">
        <v>1.0811738458898232</v>
      </c>
      <c r="H70" s="4">
        <v>4</v>
      </c>
      <c r="I70" t="s">
        <v>402</v>
      </c>
      <c r="K70" s="23">
        <f>MIN(E70,G70)/MAX(E70,G70)</f>
        <v>0.10094238298167203</v>
      </c>
      <c r="L70" s="23">
        <f>MIN(F70,G70)/MAX(F70,G70)</f>
        <v>0.9454557631212145</v>
      </c>
    </row>
    <row r="71" spans="3:12" ht="12.75">
      <c r="C71" t="s">
        <v>125</v>
      </c>
      <c r="D71" t="s">
        <v>126</v>
      </c>
      <c r="E71" s="23">
        <v>0.023386342376052385</v>
      </c>
      <c r="F71" s="23">
        <v>0.9483079211602826</v>
      </c>
      <c r="G71" s="23">
        <v>0.1716148961729878</v>
      </c>
      <c r="H71" s="4">
        <v>6</v>
      </c>
      <c r="I71" t="s">
        <v>402</v>
      </c>
      <c r="K71" s="23">
        <f>MIN(E71,G71)/MAX(E71,G71)</f>
        <v>0.13627221702525724</v>
      </c>
      <c r="L71" s="23">
        <f>MIN(F71,G71)/MAX(F71,G71)</f>
        <v>0.18096959051339773</v>
      </c>
    </row>
    <row r="72" spans="3:12" ht="12.75">
      <c r="C72" t="s">
        <v>201</v>
      </c>
      <c r="D72" t="s">
        <v>202</v>
      </c>
      <c r="E72" s="23">
        <v>0.015590894917368257</v>
      </c>
      <c r="F72" s="23">
        <v>0.12086277426552622</v>
      </c>
      <c r="G72" s="23">
        <v>0.4633602196670671</v>
      </c>
      <c r="H72" s="4">
        <v>6</v>
      </c>
      <c r="K72" s="23">
        <f>MIN(E72,G72)/MAX(E72,G72)</f>
        <v>0.03364746099389068</v>
      </c>
      <c r="L72" s="23">
        <f>MIN(F72,G72)/MAX(F72,G72)</f>
        <v>0.26083977246119305</v>
      </c>
    </row>
    <row r="73" spans="3:8" ht="12.75">
      <c r="C73" t="s">
        <v>121</v>
      </c>
      <c r="D73" t="s">
        <v>129</v>
      </c>
      <c r="E73" s="23">
        <v>0.015590894917368257</v>
      </c>
      <c r="F73" s="23">
        <v>0.027891409445890667</v>
      </c>
      <c r="G73" s="23">
        <v>0</v>
      </c>
      <c r="H73" s="4">
        <v>5</v>
      </c>
    </row>
    <row r="74" spans="4:12" ht="12.75">
      <c r="D74" t="s">
        <v>122</v>
      </c>
      <c r="E74" s="23">
        <v>0.06236357966947303</v>
      </c>
      <c r="F74" s="23">
        <v>0.6600966902194124</v>
      </c>
      <c r="G74" s="23">
        <v>0.2917453234940793</v>
      </c>
      <c r="H74" s="4">
        <v>1</v>
      </c>
      <c r="I74" t="s">
        <v>402</v>
      </c>
      <c r="K74" s="23">
        <f>MIN(E74,G74)/MAX(E74,G74)</f>
        <v>0.21376034043177608</v>
      </c>
      <c r="L74" s="23">
        <f>MIN(F74,G74)/MAX(F74,G74)</f>
        <v>0.44197361964821363</v>
      </c>
    </row>
    <row r="75" spans="3:8" ht="12.75">
      <c r="C75" t="s">
        <v>143</v>
      </c>
      <c r="D75" t="s">
        <v>144</v>
      </c>
      <c r="E75" s="23">
        <v>0.03897723729342064</v>
      </c>
      <c r="F75" s="23">
        <v>0</v>
      </c>
      <c r="G75" s="23">
        <v>0</v>
      </c>
      <c r="H75" s="4">
        <v>4</v>
      </c>
    </row>
    <row r="76" spans="4:8" ht="12.75">
      <c r="D76" t="s">
        <v>399</v>
      </c>
      <c r="E76" s="23">
        <v>0</v>
      </c>
      <c r="F76" s="23">
        <v>0</v>
      </c>
      <c r="G76" s="23">
        <v>0.01716148961729878</v>
      </c>
      <c r="H76" s="4">
        <v>7</v>
      </c>
    </row>
    <row r="77" spans="3:12" ht="12.75">
      <c r="C77" t="s">
        <v>43</v>
      </c>
      <c r="D77" t="s">
        <v>47</v>
      </c>
      <c r="E77" s="23">
        <v>4.513564078578111</v>
      </c>
      <c r="F77" s="23">
        <v>1.069170695425809</v>
      </c>
      <c r="G77" s="23">
        <v>1.0640123562725246</v>
      </c>
      <c r="H77" s="4">
        <v>6</v>
      </c>
      <c r="I77" t="s">
        <v>401</v>
      </c>
      <c r="K77" s="23">
        <f>MIN(E77,G77)/MAX(E77,G77)</f>
        <v>0.2357366235969593</v>
      </c>
      <c r="L77" s="23">
        <f>MIN(F77,G77)/MAX(F77,G77)</f>
        <v>0.9951753829623716</v>
      </c>
    </row>
    <row r="78" spans="4:8" ht="12.75">
      <c r="D78" t="s">
        <v>384</v>
      </c>
      <c r="E78" s="23">
        <v>0</v>
      </c>
      <c r="F78" s="23">
        <v>0.009297136481963555</v>
      </c>
      <c r="G78" s="23">
        <v>0</v>
      </c>
      <c r="H78" s="4">
        <v>6</v>
      </c>
    </row>
    <row r="79" spans="3:12" ht="12.75">
      <c r="C79" t="s">
        <v>44</v>
      </c>
      <c r="D79" t="s">
        <v>123</v>
      </c>
      <c r="E79" s="23">
        <v>0.015590894917368257</v>
      </c>
      <c r="F79" s="23">
        <v>0.01859427296392711</v>
      </c>
      <c r="G79" s="23">
        <v>0.06864595846919512</v>
      </c>
      <c r="H79" s="4">
        <v>7</v>
      </c>
      <c r="K79" s="23">
        <f>MIN(E79,G79)/MAX(E79,G79)</f>
        <v>0.2271203617087621</v>
      </c>
      <c r="L79" s="23">
        <f>MIN(F79,G79)/MAX(F79,G79)</f>
        <v>0.2708720714020082</v>
      </c>
    </row>
    <row r="80" spans="4:12" ht="12.75">
      <c r="D80" t="s">
        <v>51</v>
      </c>
      <c r="E80" s="23">
        <v>12.06735266604303</v>
      </c>
      <c r="F80" s="23">
        <v>9.269245072517664</v>
      </c>
      <c r="G80" s="23">
        <v>11.70413591899777</v>
      </c>
      <c r="H80" s="4">
        <v>7</v>
      </c>
      <c r="K80" s="23">
        <f>MIN(E80,G80)/MAX(E80,G80)</f>
        <v>0.9699008757681098</v>
      </c>
      <c r="L80" s="23">
        <f>MIN(F80,G80)/MAX(F80,G80)</f>
        <v>0.7919632116944344</v>
      </c>
    </row>
    <row r="81" spans="4:12" ht="12.75">
      <c r="D81" t="s">
        <v>209</v>
      </c>
      <c r="E81" s="23">
        <v>0.03897723729342064</v>
      </c>
      <c r="F81" s="23">
        <v>0.29750836742283376</v>
      </c>
      <c r="G81" s="23">
        <v>0.25742234425948174</v>
      </c>
      <c r="H81" s="4">
        <v>3</v>
      </c>
      <c r="I81" t="s">
        <v>402</v>
      </c>
      <c r="K81" s="23">
        <f>MIN(E81,G81)/MAX(E81,G81)</f>
        <v>0.15141357447250803</v>
      </c>
      <c r="L81" s="23">
        <f>MIN(F81,G81)/MAX(F81,G81)</f>
        <v>0.865260854642183</v>
      </c>
    </row>
    <row r="82" spans="4:12" ht="12.75">
      <c r="D82" t="s">
        <v>282</v>
      </c>
      <c r="E82" s="23">
        <v>0</v>
      </c>
      <c r="F82" s="23">
        <v>0.33469691335068796</v>
      </c>
      <c r="G82" s="23">
        <v>0.0858074480864939</v>
      </c>
      <c r="H82" s="4">
        <v>8</v>
      </c>
      <c r="I82" t="s">
        <v>403</v>
      </c>
      <c r="L82" s="23">
        <f>MIN(F82,G82)/MAX(F82,G82)</f>
        <v>0.2563735865606468</v>
      </c>
    </row>
    <row r="83" spans="4:12" ht="12.75">
      <c r="D83" t="s">
        <v>249</v>
      </c>
      <c r="E83" s="23">
        <v>2.0891799189273463</v>
      </c>
      <c r="F83" s="23">
        <v>0.13945704722945332</v>
      </c>
      <c r="G83" s="23">
        <v>0.20593787540758537</v>
      </c>
      <c r="H83" s="4">
        <v>6</v>
      </c>
      <c r="I83" t="s">
        <v>401</v>
      </c>
      <c r="K83" s="23">
        <f>MIN(E83,G83)/MAX(E83,G83)</f>
        <v>0.09857354722867558</v>
      </c>
      <c r="L83" s="23">
        <f>MIN(F83,G83)/MAX(F83,G83)</f>
        <v>0.6771801785050204</v>
      </c>
    </row>
    <row r="84" spans="4:8" ht="12.75">
      <c r="D84" t="s">
        <v>383</v>
      </c>
      <c r="E84" s="23">
        <v>0</v>
      </c>
      <c r="F84" s="23">
        <v>0.027891409445890667</v>
      </c>
      <c r="G84" s="23">
        <v>0</v>
      </c>
      <c r="H84" s="4">
        <v>6</v>
      </c>
    </row>
    <row r="85" spans="4:12" ht="12.75">
      <c r="D85" t="s">
        <v>207</v>
      </c>
      <c r="E85" s="23">
        <v>0.0077954474586841285</v>
      </c>
      <c r="F85" s="23">
        <v>0.009297136481963555</v>
      </c>
      <c r="G85" s="23">
        <v>0.051484468851896344</v>
      </c>
      <c r="H85" s="4">
        <v>6</v>
      </c>
      <c r="K85" s="23">
        <f>MIN(E85,G85)/MAX(E85,G85)</f>
        <v>0.15141357447250806</v>
      </c>
      <c r="L85" s="23">
        <f>MIN(F85,G85)/MAX(F85,G85)</f>
        <v>0.18058138093467213</v>
      </c>
    </row>
    <row r="86" spans="4:12" ht="12.75">
      <c r="D86" t="s">
        <v>50</v>
      </c>
      <c r="E86" s="23">
        <v>0.5300904271905207</v>
      </c>
      <c r="F86" s="23">
        <v>0.7251766455931573</v>
      </c>
      <c r="G86" s="23">
        <v>0.0858074480864939</v>
      </c>
      <c r="H86" s="4">
        <v>6</v>
      </c>
      <c r="K86" s="23">
        <f>MIN(E86,G86)/MAX(E86,G86)</f>
        <v>0.16187322706669763</v>
      </c>
      <c r="L86" s="23">
        <f>MIN(F86,G86)/MAX(F86,G86)</f>
        <v>0.11832627072029851</v>
      </c>
    </row>
    <row r="87" spans="4:8" ht="12.75">
      <c r="D87" t="s">
        <v>52</v>
      </c>
      <c r="E87" s="23">
        <v>0.07015902712815715</v>
      </c>
      <c r="F87" s="23">
        <v>0</v>
      </c>
      <c r="G87" s="23">
        <v>0</v>
      </c>
      <c r="H87" s="4">
        <v>6</v>
      </c>
    </row>
    <row r="88" spans="4:12" ht="12.75">
      <c r="D88" t="s">
        <v>189</v>
      </c>
      <c r="E88" s="23">
        <v>0.0077954474586841285</v>
      </c>
      <c r="F88" s="23">
        <v>0.07437709185570844</v>
      </c>
      <c r="G88" s="23">
        <v>0.01716148961729878</v>
      </c>
      <c r="H88" s="4">
        <v>8</v>
      </c>
      <c r="K88" s="23">
        <f>MIN(E88,G88)/MAX(E88,G88)</f>
        <v>0.4542407234175242</v>
      </c>
      <c r="L88" s="23">
        <f>MIN(F88,G88)/MAX(F88,G88)</f>
        <v>0.2307362279045821</v>
      </c>
    </row>
    <row r="89" spans="4:12" ht="12.75">
      <c r="D89" t="s">
        <v>99</v>
      </c>
      <c r="E89" s="23">
        <v>0.11693171188026193</v>
      </c>
      <c r="F89" s="23">
        <v>0.027891409445890667</v>
      </c>
      <c r="G89" s="23">
        <v>0.4805217092843659</v>
      </c>
      <c r="H89" s="4">
        <v>6</v>
      </c>
      <c r="K89" s="23">
        <f>MIN(E89,G89)/MAX(E89,G89)</f>
        <v>0.24334324468795937</v>
      </c>
      <c r="L89" s="23">
        <f>MIN(F89,G89)/MAX(F89,G89)</f>
        <v>0.05804401530043033</v>
      </c>
    </row>
    <row r="90" spans="4:12" ht="12.75">
      <c r="D90" t="s">
        <v>136</v>
      </c>
      <c r="E90" s="23">
        <v>0.023386342376052385</v>
      </c>
      <c r="F90" s="23">
        <v>0.07437709185570844</v>
      </c>
      <c r="G90" s="23">
        <v>0.051484468851896344</v>
      </c>
      <c r="H90" s="4">
        <v>6</v>
      </c>
      <c r="K90" s="23">
        <f>MIN(E90,G90)/MAX(E90,G90)</f>
        <v>0.45424072341752414</v>
      </c>
      <c r="L90" s="23">
        <f>MIN(F90,G90)/MAX(F90,G90)</f>
        <v>0.6922086837137463</v>
      </c>
    </row>
    <row r="91" spans="4:12" ht="12.75">
      <c r="D91" t="s">
        <v>49</v>
      </c>
      <c r="E91" s="23">
        <v>4.34206423448706</v>
      </c>
      <c r="F91" s="23">
        <v>0.585719598363704</v>
      </c>
      <c r="G91" s="23">
        <v>5.714776042560494</v>
      </c>
      <c r="H91" s="4">
        <v>3</v>
      </c>
      <c r="I91" t="s">
        <v>401</v>
      </c>
      <c r="K91" s="23">
        <f>MIN(E91,G91)/MAX(E91,G91)</f>
        <v>0.7597960448755584</v>
      </c>
      <c r="L91" s="23">
        <f>MIN(F91,G91)/MAX(F91,G91)</f>
        <v>0.10249213512508418</v>
      </c>
    </row>
    <row r="92" spans="4:8" ht="12.75">
      <c r="D92" t="s">
        <v>392</v>
      </c>
      <c r="E92" s="23">
        <v>0</v>
      </c>
      <c r="F92" s="23">
        <v>0</v>
      </c>
      <c r="G92" s="23">
        <v>0.12013042732109147</v>
      </c>
      <c r="H92" s="4">
        <v>4</v>
      </c>
    </row>
    <row r="93" spans="4:12" ht="12.75">
      <c r="D93" t="s">
        <v>208</v>
      </c>
      <c r="E93" s="23">
        <v>0.023386342376052385</v>
      </c>
      <c r="F93" s="23">
        <v>0.12086277426552622</v>
      </c>
      <c r="G93" s="23">
        <v>0.10296893770379269</v>
      </c>
      <c r="H93" s="4">
        <v>5</v>
      </c>
      <c r="K93" s="23">
        <f>MIN(E93,G93)/MAX(E93,G93)</f>
        <v>0.22712036170876207</v>
      </c>
      <c r="L93" s="23">
        <f>MIN(F93,G93)/MAX(F93,G93)</f>
        <v>0.8519491491861494</v>
      </c>
    </row>
    <row r="94" spans="4:8" ht="12.75">
      <c r="D94" t="s">
        <v>281</v>
      </c>
      <c r="E94" s="23">
        <v>0</v>
      </c>
      <c r="F94" s="23">
        <v>0.009297136481963555</v>
      </c>
      <c r="G94" s="23">
        <v>0</v>
      </c>
      <c r="H94" s="4">
        <v>6</v>
      </c>
    </row>
    <row r="95" spans="4:8" ht="12.75">
      <c r="D95" t="s">
        <v>390</v>
      </c>
      <c r="E95" s="23">
        <v>0</v>
      </c>
      <c r="F95" s="23">
        <v>0.01859427296392711</v>
      </c>
      <c r="G95" s="23">
        <v>0</v>
      </c>
      <c r="H95" s="4">
        <v>5</v>
      </c>
    </row>
    <row r="96" spans="4:8" ht="12.75">
      <c r="D96" t="s">
        <v>310</v>
      </c>
      <c r="E96" s="23">
        <v>0</v>
      </c>
      <c r="F96" s="23">
        <v>0</v>
      </c>
      <c r="G96" s="23">
        <v>0.01716148961729878</v>
      </c>
      <c r="H96" s="4">
        <v>8</v>
      </c>
    </row>
    <row r="97" spans="4:12" ht="12.75">
      <c r="D97" t="s">
        <v>280</v>
      </c>
      <c r="E97" s="23">
        <v>0</v>
      </c>
      <c r="F97" s="23">
        <v>3.1889178133134997</v>
      </c>
      <c r="G97" s="23">
        <v>0.41187575081517075</v>
      </c>
      <c r="H97" s="4">
        <v>2</v>
      </c>
      <c r="I97" t="s">
        <v>403</v>
      </c>
      <c r="L97" s="23">
        <f>MIN(F97,G97)/MAX(F97,G97)</f>
        <v>0.129158471596734</v>
      </c>
    </row>
    <row r="98" spans="4:8" ht="12.75">
      <c r="D98" t="s">
        <v>391</v>
      </c>
      <c r="E98" s="23">
        <v>0</v>
      </c>
      <c r="F98" s="23">
        <v>0</v>
      </c>
      <c r="G98" s="23">
        <v>0.12013042732109147</v>
      </c>
      <c r="H98" s="4">
        <v>6</v>
      </c>
    </row>
    <row r="99" spans="4:12" ht="12.75">
      <c r="D99" t="s">
        <v>138</v>
      </c>
      <c r="E99" s="23">
        <v>1.1069535391331462</v>
      </c>
      <c r="F99" s="23">
        <v>3.3748605429527707</v>
      </c>
      <c r="G99" s="23">
        <v>1.7676334305817745</v>
      </c>
      <c r="H99" s="4">
        <v>6</v>
      </c>
      <c r="I99" t="s">
        <v>402</v>
      </c>
      <c r="K99" s="23">
        <f>MIN(E99,G99)/MAX(E99,G99)</f>
        <v>0.6262347837406643</v>
      </c>
      <c r="L99" s="23">
        <f>MIN(F99,G99)/MAX(F99,G99)</f>
        <v>0.5237648809734866</v>
      </c>
    </row>
    <row r="100" spans="4:12" ht="12.75">
      <c r="D100" t="s">
        <v>124</v>
      </c>
      <c r="E100" s="23">
        <v>0.07795447458684128</v>
      </c>
      <c r="F100" s="23">
        <v>0.16734845667534398</v>
      </c>
      <c r="G100" s="23">
        <v>0.03432297923459756</v>
      </c>
      <c r="H100" s="4">
        <v>5</v>
      </c>
      <c r="K100" s="23">
        <f>MIN(E100,G100)/MAX(E100,G100)</f>
        <v>0.4402951776214175</v>
      </c>
      <c r="L100" s="23">
        <f>MIN(F100,G100)/MAX(F100,G100)</f>
        <v>0.20509886924851745</v>
      </c>
    </row>
    <row r="101" spans="3:11" ht="12.75">
      <c r="C101" t="s">
        <v>181</v>
      </c>
      <c r="D101" t="s">
        <v>182</v>
      </c>
      <c r="E101" s="23">
        <v>0.0077954474586841285</v>
      </c>
      <c r="F101" s="23">
        <v>0</v>
      </c>
      <c r="G101" s="23">
        <v>0.01716148961729878</v>
      </c>
      <c r="H101" s="4">
        <v>8</v>
      </c>
      <c r="K101" s="23">
        <f>MIN(E101,G101)/MAX(E101,G101)</f>
        <v>0.4542407234175242</v>
      </c>
    </row>
    <row r="102" spans="3:12" ht="12.75">
      <c r="C102" t="s">
        <v>45</v>
      </c>
      <c r="D102" t="s">
        <v>379</v>
      </c>
      <c r="E102" s="23">
        <v>0.10134081696289367</v>
      </c>
      <c r="F102" s="23">
        <v>0.027891409445890667</v>
      </c>
      <c r="G102" s="23">
        <v>0.0858074480864939</v>
      </c>
      <c r="H102" s="4">
        <v>6</v>
      </c>
      <c r="K102" s="23">
        <f>MIN(E102,G102)/MAX(E102,G102)</f>
        <v>0.846721495425803</v>
      </c>
      <c r="L102" s="23">
        <f>MIN(F102,G102)/MAX(F102,G102)</f>
        <v>0.32504648568240985</v>
      </c>
    </row>
    <row r="103" spans="4:12" ht="12.75">
      <c r="D103" t="s">
        <v>301</v>
      </c>
      <c r="E103" s="23">
        <v>0</v>
      </c>
      <c r="F103" s="23">
        <v>0.11156563778356267</v>
      </c>
      <c r="G103" s="23">
        <v>0.12013042732109147</v>
      </c>
      <c r="H103" s="4">
        <v>6</v>
      </c>
      <c r="L103" s="23">
        <f>MIN(F103,G103)/MAX(F103,G103)</f>
        <v>0.9287042448068853</v>
      </c>
    </row>
    <row r="104" spans="4:8" ht="12.75">
      <c r="D104" t="s">
        <v>190</v>
      </c>
      <c r="E104" s="23">
        <v>0.0077954474586841285</v>
      </c>
      <c r="F104" s="23">
        <v>0</v>
      </c>
      <c r="G104" s="23">
        <v>0</v>
      </c>
      <c r="H104" s="4">
        <v>6</v>
      </c>
    </row>
    <row r="105" spans="3:12" ht="12.75">
      <c r="C105" t="s">
        <v>46</v>
      </c>
      <c r="D105" t="s">
        <v>48</v>
      </c>
      <c r="E105" s="23">
        <v>0.1637043966323667</v>
      </c>
      <c r="F105" s="23">
        <v>0.09297136481963555</v>
      </c>
      <c r="G105" s="23">
        <v>0.03432297923459756</v>
      </c>
      <c r="H105" s="4">
        <v>7</v>
      </c>
      <c r="K105" s="23">
        <f>MIN(E105,G105)/MAX(E105,G105)</f>
        <v>0.20966437029591312</v>
      </c>
      <c r="L105" s="23">
        <f>MIN(F105,G105)/MAX(F105,G105)</f>
        <v>0.3691779646473313</v>
      </c>
    </row>
    <row r="106" spans="4:12" ht="12.75">
      <c r="D106" t="s">
        <v>179</v>
      </c>
      <c r="E106" s="23">
        <v>5.074836295603368</v>
      </c>
      <c r="F106" s="23">
        <v>2.566009669021941</v>
      </c>
      <c r="G106" s="23">
        <v>18.122533035867512</v>
      </c>
      <c r="H106" s="4">
        <v>6</v>
      </c>
      <c r="I106" t="s">
        <v>401</v>
      </c>
      <c r="K106" s="23">
        <f>MIN(E106,G106)/MAX(E106,G106)</f>
        <v>0.28002908233409873</v>
      </c>
      <c r="L106" s="23">
        <f>MIN(F106,G106)/MAX(F106,G106)</f>
        <v>0.14159221914195882</v>
      </c>
    </row>
    <row r="107" spans="4:12" ht="12.75">
      <c r="D107" t="s">
        <v>188</v>
      </c>
      <c r="E107" s="23">
        <v>0.11693171188026193</v>
      </c>
      <c r="F107" s="23">
        <v>0.03718854592785422</v>
      </c>
      <c r="G107" s="23">
        <v>0.5834906469881586</v>
      </c>
      <c r="H107" s="4">
        <v>4</v>
      </c>
      <c r="K107" s="23">
        <f>MIN(E107,G107)/MAX(E107,G107)</f>
        <v>0.2004003191547901</v>
      </c>
      <c r="L107" s="23">
        <f>MIN(F107,G107)/MAX(F107,G107)</f>
        <v>0.06373460503576663</v>
      </c>
    </row>
    <row r="108" spans="4:8" ht="12.75">
      <c r="D108" t="s">
        <v>300</v>
      </c>
      <c r="E108" s="23">
        <v>0</v>
      </c>
      <c r="F108" s="23">
        <v>0.03718854592785422</v>
      </c>
      <c r="G108" s="23">
        <v>0</v>
      </c>
      <c r="H108" s="4">
        <v>2</v>
      </c>
    </row>
    <row r="109" spans="4:12" ht="12.75">
      <c r="D109" t="s">
        <v>206</v>
      </c>
      <c r="E109" s="23">
        <v>0.0077954474586841285</v>
      </c>
      <c r="F109" s="23">
        <v>1.840833023428784</v>
      </c>
      <c r="G109" s="23">
        <v>1.4415651278530976</v>
      </c>
      <c r="H109" s="4">
        <v>6</v>
      </c>
      <c r="I109" t="s">
        <v>402</v>
      </c>
      <c r="K109" s="23">
        <f>MIN(E109,G109)/MAX(E109,G109)</f>
        <v>0.005407627659732431</v>
      </c>
      <c r="L109" s="23">
        <f>MIN(F109,G109)/MAX(F109,G109)</f>
        <v>0.7831047734943393</v>
      </c>
    </row>
    <row r="110" spans="4:12" ht="12.75">
      <c r="D110" t="s">
        <v>180</v>
      </c>
      <c r="E110" s="23">
        <v>0.08574992204552541</v>
      </c>
      <c r="F110" s="23">
        <v>3.365563406470807</v>
      </c>
      <c r="G110" s="23">
        <v>4.410502831645787</v>
      </c>
      <c r="H110" s="4">
        <v>6</v>
      </c>
      <c r="I110" t="s">
        <v>402</v>
      </c>
      <c r="K110" s="23">
        <f>MIN(E110,G110)/MAX(E110,G110)</f>
        <v>0.019442209951722824</v>
      </c>
      <c r="L110" s="23">
        <f>MIN(F110,G110)/MAX(F110,G110)</f>
        <v>0.7630792984243343</v>
      </c>
    </row>
    <row r="111" spans="1:12" ht="12.75">
      <c r="A111" t="s">
        <v>107</v>
      </c>
      <c r="B111" t="s">
        <v>108</v>
      </c>
      <c r="C111" t="s">
        <v>74</v>
      </c>
      <c r="D111" t="s">
        <v>109</v>
      </c>
      <c r="E111" s="23">
        <v>0.4365450576863112</v>
      </c>
      <c r="F111" s="23">
        <v>0.19523986612123467</v>
      </c>
      <c r="G111" s="23">
        <v>0.6178136262227562</v>
      </c>
      <c r="H111" s="4">
        <v>8</v>
      </c>
      <c r="I111" t="s">
        <v>401</v>
      </c>
      <c r="K111" s="23">
        <f>MIN(E111,G111)/MAX(E111,G111)</f>
        <v>0.7065966808717042</v>
      </c>
      <c r="L111" s="23">
        <f>MIN(F111,G111)/MAX(F111,G111)</f>
        <v>0.31601741663567623</v>
      </c>
    </row>
    <row r="112" spans="1:12" ht="12.75">
      <c r="A112" t="s">
        <v>83</v>
      </c>
      <c r="B112" t="s">
        <v>84</v>
      </c>
      <c r="C112" t="s">
        <v>85</v>
      </c>
      <c r="D112" t="s">
        <v>86</v>
      </c>
      <c r="E112" s="23">
        <v>0.10134081696289367</v>
      </c>
      <c r="F112" s="23">
        <v>0.01859427296392711</v>
      </c>
      <c r="G112" s="23">
        <v>0.0858074480864939</v>
      </c>
      <c r="H112" s="4">
        <v>8</v>
      </c>
      <c r="K112" s="23">
        <f>MIN(E112,G112)/MAX(E112,G112)</f>
        <v>0.846721495425803</v>
      </c>
      <c r="L112" s="23">
        <f>MIN(F112,G112)/MAX(F112,G112)</f>
        <v>0.21669765712160655</v>
      </c>
    </row>
    <row r="113" spans="3:8" ht="12.75">
      <c r="C113" t="s">
        <v>380</v>
      </c>
      <c r="D113" t="s">
        <v>381</v>
      </c>
      <c r="E113" s="23">
        <v>0</v>
      </c>
      <c r="F113" s="23">
        <v>0.009297136481963555</v>
      </c>
      <c r="G113" s="23">
        <v>0</v>
      </c>
      <c r="H113" s="4">
        <v>8</v>
      </c>
    </row>
    <row r="114" spans="2:8" ht="12.75">
      <c r="B114" t="s">
        <v>290</v>
      </c>
      <c r="C114" t="s">
        <v>289</v>
      </c>
      <c r="D114" t="s">
        <v>291</v>
      </c>
      <c r="E114" s="23">
        <v>0</v>
      </c>
      <c r="F114" s="23">
        <v>0.01859427296392711</v>
      </c>
      <c r="G114" s="23">
        <v>0</v>
      </c>
      <c r="H114" s="4">
        <v>8</v>
      </c>
    </row>
    <row r="115" spans="1:12" ht="12.75">
      <c r="A115" t="s">
        <v>73</v>
      </c>
      <c r="B115" t="s">
        <v>74</v>
      </c>
      <c r="C115" t="s">
        <v>74</v>
      </c>
      <c r="D115" t="s">
        <v>75</v>
      </c>
      <c r="E115" s="23">
        <v>0.22606797630183972</v>
      </c>
      <c r="F115" s="23">
        <v>1.5340275195239865</v>
      </c>
      <c r="G115" s="23">
        <v>1.0640123562725246</v>
      </c>
      <c r="H115" s="4">
        <v>5</v>
      </c>
      <c r="I115" t="s">
        <v>402</v>
      </c>
      <c r="K115" s="23">
        <f>MIN(E115,G115)/MAX(E115,G115)</f>
        <v>0.21246743514690644</v>
      </c>
      <c r="L115" s="23">
        <f>MIN(F115,G115)/MAX(F115,G115)</f>
        <v>0.6936070850949864</v>
      </c>
    </row>
    <row r="116" spans="1:9" ht="12.75">
      <c r="A116" t="s">
        <v>76</v>
      </c>
      <c r="B116" t="s">
        <v>77</v>
      </c>
      <c r="C116" t="s">
        <v>78</v>
      </c>
      <c r="D116" t="s">
        <v>79</v>
      </c>
      <c r="E116" s="23">
        <v>0.3196133458060493</v>
      </c>
      <c r="F116" s="23">
        <v>0.055782818891781334</v>
      </c>
      <c r="G116" s="23">
        <v>0</v>
      </c>
      <c r="H116" s="4">
        <v>4</v>
      </c>
      <c r="I116" t="s">
        <v>401</v>
      </c>
    </row>
    <row r="117" spans="1:12" ht="12.75">
      <c r="A117" t="s">
        <v>296</v>
      </c>
      <c r="B117" t="s">
        <v>297</v>
      </c>
      <c r="C117" t="s">
        <v>298</v>
      </c>
      <c r="D117" t="s">
        <v>299</v>
      </c>
      <c r="E117" s="23">
        <v>0</v>
      </c>
      <c r="F117" s="23">
        <v>0.027891409445890667</v>
      </c>
      <c r="G117" s="23">
        <v>0.01716148961729878</v>
      </c>
      <c r="H117" s="4">
        <v>5</v>
      </c>
      <c r="L117" s="23">
        <f>MIN(F117,G117)/MAX(F117,G117)</f>
        <v>0.6152966077455523</v>
      </c>
    </row>
    <row r="118" spans="1:12" ht="12.75">
      <c r="A118" t="s">
        <v>41</v>
      </c>
      <c r="B118" t="s">
        <v>42</v>
      </c>
      <c r="C118" t="s">
        <v>130</v>
      </c>
      <c r="D118" t="s">
        <v>131</v>
      </c>
      <c r="E118" s="23">
        <v>0.03897723729342064</v>
      </c>
      <c r="F118" s="23">
        <v>0.06507995537374489</v>
      </c>
      <c r="G118" s="23">
        <v>0.10296893770379269</v>
      </c>
      <c r="H118" s="4">
        <v>5</v>
      </c>
      <c r="K118" s="23">
        <f>MIN(E118,G118)/MAX(E118,G118)</f>
        <v>0.3785339361812701</v>
      </c>
      <c r="L118" s="23">
        <f>MIN(F118,G118)/MAX(F118,G118)</f>
        <v>0.6320348332713525</v>
      </c>
    </row>
    <row r="119" spans="4:8" ht="12.75">
      <c r="D119" t="s">
        <v>311</v>
      </c>
      <c r="E119" s="23">
        <v>0</v>
      </c>
      <c r="F119" s="23">
        <v>0</v>
      </c>
      <c r="G119" s="23">
        <v>0.01716148961729878</v>
      </c>
      <c r="H119" s="4">
        <v>5</v>
      </c>
    </row>
    <row r="120" spans="3:12" ht="12.75">
      <c r="C120" t="s">
        <v>183</v>
      </c>
      <c r="D120" t="s">
        <v>184</v>
      </c>
      <c r="E120" s="23">
        <v>0.25724976613657624</v>
      </c>
      <c r="F120" s="23">
        <v>0.2882112309408702</v>
      </c>
      <c r="G120" s="23">
        <v>0.41187575081517075</v>
      </c>
      <c r="H120" s="4">
        <v>5</v>
      </c>
      <c r="K120" s="23">
        <f>MIN(E120,G120)/MAX(E120,G120)</f>
        <v>0.6245809946990958</v>
      </c>
      <c r="L120" s="23">
        <f>MIN(F120,G120)/MAX(F120,G120)</f>
        <v>0.6997528511218545</v>
      </c>
    </row>
    <row r="121" spans="4:12" ht="12.75">
      <c r="D121" t="s">
        <v>319</v>
      </c>
      <c r="E121" s="23">
        <v>0</v>
      </c>
      <c r="F121" s="23">
        <v>0.027891409445890667</v>
      </c>
      <c r="G121" s="23">
        <v>0.01716148961729878</v>
      </c>
      <c r="H121" s="4">
        <v>5</v>
      </c>
      <c r="L121" s="23">
        <f>MIN(F121,G121)/MAX(F121,G121)</f>
        <v>0.6152966077455523</v>
      </c>
    </row>
    <row r="122" spans="3:8" ht="12.75">
      <c r="C122" t="s">
        <v>317</v>
      </c>
      <c r="D122" t="s">
        <v>318</v>
      </c>
      <c r="E122" s="23">
        <v>0</v>
      </c>
      <c r="F122" s="23">
        <v>0</v>
      </c>
      <c r="G122" s="23">
        <v>0.01716148961729878</v>
      </c>
      <c r="H122" s="4">
        <v>5</v>
      </c>
    </row>
    <row r="123" spans="3:12" ht="12.75">
      <c r="C123" t="s">
        <v>312</v>
      </c>
      <c r="D123" t="s">
        <v>313</v>
      </c>
      <c r="E123" s="23">
        <v>0</v>
      </c>
      <c r="F123" s="23">
        <v>0.009297136481963555</v>
      </c>
      <c r="G123" s="23">
        <v>0.01716148961729878</v>
      </c>
      <c r="H123" s="4">
        <v>5</v>
      </c>
      <c r="L123" s="23">
        <f>MIN(F123,G123)/MAX(F123,G123)</f>
        <v>0.5417441428040164</v>
      </c>
    </row>
    <row r="124" spans="3:8" ht="12.75">
      <c r="C124" t="s">
        <v>145</v>
      </c>
      <c r="D124" t="s">
        <v>146</v>
      </c>
      <c r="E124" s="23">
        <v>0.0545681322107889</v>
      </c>
      <c r="F124" s="23">
        <v>0.027891409445890667</v>
      </c>
      <c r="G124" s="23">
        <v>0</v>
      </c>
      <c r="H124" s="4">
        <v>5</v>
      </c>
    </row>
    <row r="125" spans="4:12" ht="12.75">
      <c r="D125" t="s">
        <v>210</v>
      </c>
      <c r="E125" s="23">
        <v>0.07795447458684128</v>
      </c>
      <c r="F125" s="23">
        <v>0.32539977686872446</v>
      </c>
      <c r="G125" s="23">
        <v>0.22309936502488417</v>
      </c>
      <c r="H125" s="4">
        <v>5</v>
      </c>
      <c r="K125" s="23">
        <f>MIN(E125,G125)/MAX(E125,G125)</f>
        <v>0.34941594109040314</v>
      </c>
      <c r="L125" s="23">
        <f>MIN(F125,G125)/MAX(F125,G125)</f>
        <v>0.6856162200593298</v>
      </c>
    </row>
    <row r="126" spans="3:8" ht="12.75">
      <c r="C126" t="s">
        <v>387</v>
      </c>
      <c r="D126" t="s">
        <v>388</v>
      </c>
      <c r="E126" s="23">
        <v>0</v>
      </c>
      <c r="F126" s="23">
        <v>0.009297136481963555</v>
      </c>
      <c r="G126" s="23">
        <v>0</v>
      </c>
      <c r="H126" s="4">
        <v>5</v>
      </c>
    </row>
    <row r="127" spans="3:12" ht="12.75">
      <c r="C127" t="s">
        <v>53</v>
      </c>
      <c r="D127" t="s">
        <v>113</v>
      </c>
      <c r="E127" s="23">
        <v>0.6236357966947302</v>
      </c>
      <c r="F127" s="23">
        <v>3.365563406470807</v>
      </c>
      <c r="G127" s="23">
        <v>2.0765402436931524</v>
      </c>
      <c r="H127" s="4">
        <v>5</v>
      </c>
      <c r="I127" t="s">
        <v>402</v>
      </c>
      <c r="K127" s="23">
        <f>MIN(E127,G127)/MAX(E127,G127)</f>
        <v>0.30032444523472673</v>
      </c>
      <c r="L127" s="23">
        <f>MIN(F127,G127)/MAX(F127,G127)</f>
        <v>0.6169963221315897</v>
      </c>
    </row>
    <row r="128" spans="3:12" ht="12.75">
      <c r="C128" t="s">
        <v>250</v>
      </c>
      <c r="D128" t="s">
        <v>139</v>
      </c>
      <c r="E128" s="23">
        <v>0.10134081696289367</v>
      </c>
      <c r="F128" s="23">
        <v>0.01859427296392711</v>
      </c>
      <c r="G128" s="23">
        <v>0.20593787540758537</v>
      </c>
      <c r="H128" s="4">
        <v>5</v>
      </c>
      <c r="K128" s="23">
        <f>MIN(E128,G128)/MAX(E128,G128)</f>
        <v>0.4920941170356512</v>
      </c>
      <c r="L128" s="23">
        <f>MIN(F128,G128)/MAX(F128,G128)</f>
        <v>0.09029069046733607</v>
      </c>
    </row>
    <row r="129" spans="4:12" ht="12.75">
      <c r="D129" t="s">
        <v>283</v>
      </c>
      <c r="E129" s="23">
        <v>0</v>
      </c>
      <c r="F129" s="23">
        <v>0.29750836742283376</v>
      </c>
      <c r="G129" s="23">
        <v>0.3775527715805732</v>
      </c>
      <c r="H129" s="4">
        <v>5</v>
      </c>
      <c r="I129" t="s">
        <v>403</v>
      </c>
      <c r="L129" s="23">
        <f>MIN(F129,G129)/MAX(F129,G129)</f>
        <v>0.7879914804422056</v>
      </c>
    </row>
    <row r="130" spans="2:11" ht="12.75">
      <c r="B130" t="s">
        <v>185</v>
      </c>
      <c r="C130" t="s">
        <v>186</v>
      </c>
      <c r="D130" t="s">
        <v>187</v>
      </c>
      <c r="E130" s="23">
        <v>0.0077954474586841285</v>
      </c>
      <c r="F130" s="23">
        <v>0</v>
      </c>
      <c r="G130" s="23">
        <v>0.01716148961729878</v>
      </c>
      <c r="H130" s="4">
        <v>5</v>
      </c>
      <c r="K130" s="23">
        <f>MIN(E130,G130)/MAX(E130,G130)</f>
        <v>0.4542407234175242</v>
      </c>
    </row>
    <row r="131" spans="3:12" ht="12.75">
      <c r="C131" t="s">
        <v>74</v>
      </c>
      <c r="D131" t="s">
        <v>132</v>
      </c>
      <c r="E131" s="23">
        <v>0.0077954474586841285</v>
      </c>
      <c r="F131" s="23">
        <v>0.01859427296392711</v>
      </c>
      <c r="G131" s="23">
        <v>0.01716148961729878</v>
      </c>
      <c r="H131" s="4">
        <v>5</v>
      </c>
      <c r="K131" s="23">
        <f>MIN(E131,G131)/MAX(E131,G131)</f>
        <v>0.4542407234175242</v>
      </c>
      <c r="L131" s="23">
        <f>MIN(F131,G131)/MAX(F131,G131)</f>
        <v>0.9229449116183284</v>
      </c>
    </row>
    <row r="133" spans="4:13" ht="12.75">
      <c r="D133" t="s">
        <v>408</v>
      </c>
      <c r="K133" s="42">
        <f>SUM(K3:K131)/COUNT(K3:K131)</f>
        <v>0.38510524270260615</v>
      </c>
      <c r="L133" s="42">
        <f>SUM(L3:L131)/COUNT(L3:L131)</f>
        <v>0.4851622160118574</v>
      </c>
      <c r="M133" s="3" t="s">
        <v>431</v>
      </c>
    </row>
    <row r="134" ht="12.75">
      <c r="M134" s="3" t="s">
        <v>432</v>
      </c>
    </row>
    <row r="135" spans="4:11" ht="12.75">
      <c r="D135" s="2" t="s">
        <v>163</v>
      </c>
      <c r="E135" s="4">
        <f>COUNTIF(E3:E131,"&gt;0")</f>
        <v>90</v>
      </c>
      <c r="F135" s="4">
        <f>COUNTIF(F3:F131,"&gt;0")</f>
        <v>100</v>
      </c>
      <c r="G135" s="4">
        <f>COUNTIF(G3:G131,"&gt;0")</f>
        <v>81</v>
      </c>
      <c r="K135" s="4" t="s">
        <v>430</v>
      </c>
    </row>
    <row r="136" spans="4:11" ht="12.75">
      <c r="D136" s="2" t="s">
        <v>405</v>
      </c>
      <c r="E136" s="25">
        <f>SUM(E73:E110)</f>
        <v>30.714062987215463</v>
      </c>
      <c r="F136" s="25">
        <f>SUM(F73:F110)</f>
        <v>28.309780587579027</v>
      </c>
      <c r="G136" s="25">
        <f>SUM(G73:G110)</f>
        <v>47.48584177106572</v>
      </c>
      <c r="K136" s="4" t="s">
        <v>433</v>
      </c>
    </row>
    <row r="137" spans="4:7" ht="12.75">
      <c r="D137" s="2" t="s">
        <v>409</v>
      </c>
      <c r="E137" s="24">
        <f>SUMPRODUCT(E3:E131*$H3:$H131)/100</f>
        <v>3.4299968818210163</v>
      </c>
      <c r="F137" s="24">
        <f>SUMPRODUCT(F3:F131*$H3:$H131)/100</f>
        <v>3.515433246560057</v>
      </c>
      <c r="G137" s="24">
        <f>SUMPRODUCT(G3:G131*$H3:$H131)/100</f>
        <v>4.2079972541616595</v>
      </c>
    </row>
    <row r="138" spans="4:13" ht="12.75">
      <c r="D138" s="2" t="s">
        <v>411</v>
      </c>
      <c r="E138" s="25">
        <f>SUM(E4:E19)</f>
        <v>11.630807608356726</v>
      </c>
      <c r="F138" s="25">
        <f>SUM(F4:F19)</f>
        <v>30.773521755299363</v>
      </c>
      <c r="G138" s="25">
        <f>SUM(G4:G19)</f>
        <v>19.975973914535782</v>
      </c>
      <c r="K138" s="11">
        <f>COUNT(K3:K131)</f>
        <v>61</v>
      </c>
      <c r="L138" s="11">
        <f>COUNT(L3:L131)</f>
        <v>72</v>
      </c>
      <c r="M138" s="3" t="s">
        <v>434</v>
      </c>
    </row>
    <row r="139" ht="12.75">
      <c r="M139" s="3" t="s">
        <v>435</v>
      </c>
    </row>
    <row r="140" ht="12.75">
      <c r="M140" s="3" t="s">
        <v>436</v>
      </c>
    </row>
    <row r="143" ht="12.75">
      <c r="E143" s="9"/>
    </row>
    <row r="144" spans="5:7" ht="12.75">
      <c r="E144" s="9" t="s">
        <v>404</v>
      </c>
      <c r="G144"/>
    </row>
    <row r="145" ht="12.75">
      <c r="E145" s="9" t="s">
        <v>406</v>
      </c>
    </row>
    <row r="146" ht="12.75">
      <c r="E146" s="9" t="s">
        <v>410</v>
      </c>
    </row>
    <row r="147" ht="12.75">
      <c r="E147" s="9" t="s">
        <v>420</v>
      </c>
    </row>
    <row r="148" ht="12.75">
      <c r="E148" s="9" t="s">
        <v>415</v>
      </c>
    </row>
    <row r="149" ht="12.75">
      <c r="E149" s="9" t="s">
        <v>407</v>
      </c>
    </row>
    <row r="150" ht="12.75">
      <c r="E150" s="9" t="s">
        <v>413</v>
      </c>
    </row>
    <row r="151" ht="12.75">
      <c r="E151" s="9" t="s">
        <v>412</v>
      </c>
    </row>
    <row r="152" ht="12.75">
      <c r="E152" s="9" t="s">
        <v>414</v>
      </c>
    </row>
  </sheetData>
  <printOptions/>
  <pageMargins left="0.72" right="0.54" top="0.72" bottom="0.38" header="0.5" footer="0.33"/>
  <pageSetup fitToHeight="2" orientation="landscape" scale="60" r:id="rId1"/>
  <headerFooter alignWithMargins="0">
    <oddHeader xml:space="preserve">&amp;L&amp;"Arial,Bold"&amp;12                         TABLE 1.  Trout Creek Restoration Monitoring:&amp;C&amp;"Arial,Bold"&amp;12                       List of Aquatic Invertebrates Collected and Percent Compostion&amp;R&amp;"Arial,Bold"&amp;12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59"/>
  <sheetViews>
    <sheetView workbookViewId="0" topLeftCell="AF20">
      <selection activeCell="AW26" sqref="AW26"/>
    </sheetView>
  </sheetViews>
  <sheetFormatPr defaultColWidth="9.140625" defaultRowHeight="12.75"/>
  <cols>
    <col min="1" max="1" width="17.8515625" style="0" customWidth="1"/>
    <col min="25" max="25" width="21.140625" style="0" bestFit="1" customWidth="1"/>
    <col min="32" max="32" width="10.140625" style="0" bestFit="1" customWidth="1"/>
  </cols>
  <sheetData>
    <row r="1" spans="1:21" ht="12.75">
      <c r="A1" t="s">
        <v>335</v>
      </c>
      <c r="C1" t="s">
        <v>321</v>
      </c>
      <c r="J1" t="s">
        <v>16</v>
      </c>
      <c r="K1" t="s">
        <v>16</v>
      </c>
      <c r="L1" t="s">
        <v>16</v>
      </c>
      <c r="M1" t="s">
        <v>223</v>
      </c>
      <c r="N1" t="s">
        <v>222</v>
      </c>
      <c r="O1" t="s">
        <v>237</v>
      </c>
      <c r="P1" t="s">
        <v>238</v>
      </c>
      <c r="Q1" t="s">
        <v>241</v>
      </c>
      <c r="R1" t="s">
        <v>241</v>
      </c>
      <c r="S1" t="s">
        <v>244</v>
      </c>
      <c r="T1" t="s">
        <v>245</v>
      </c>
      <c r="U1" t="s">
        <v>238</v>
      </c>
    </row>
    <row r="2" spans="1:21" ht="14.25">
      <c r="A2">
        <v>1</v>
      </c>
      <c r="B2" t="s">
        <v>217</v>
      </c>
      <c r="F2" t="s">
        <v>16</v>
      </c>
      <c r="H2" t="s">
        <v>219</v>
      </c>
      <c r="I2" t="s">
        <v>220</v>
      </c>
      <c r="J2" t="s">
        <v>224</v>
      </c>
      <c r="K2" t="s">
        <v>330</v>
      </c>
      <c r="L2" t="s">
        <v>247</v>
      </c>
      <c r="M2" t="s">
        <v>221</v>
      </c>
      <c r="N2" t="s">
        <v>221</v>
      </c>
      <c r="O2" t="s">
        <v>221</v>
      </c>
      <c r="P2" t="s">
        <v>239</v>
      </c>
      <c r="Q2" t="s">
        <v>242</v>
      </c>
      <c r="R2" t="s">
        <v>329</v>
      </c>
      <c r="T2" t="s">
        <v>246</v>
      </c>
      <c r="U2" t="s">
        <v>248</v>
      </c>
    </row>
    <row r="3" spans="1:21" ht="12.75">
      <c r="A3">
        <v>2</v>
      </c>
      <c r="B3" t="s">
        <v>225</v>
      </c>
      <c r="F3" t="s">
        <v>69</v>
      </c>
      <c r="H3" t="s">
        <v>54</v>
      </c>
      <c r="I3">
        <v>1999</v>
      </c>
      <c r="J3">
        <v>3</v>
      </c>
      <c r="K3">
        <v>2</v>
      </c>
      <c r="L3" s="9" t="s">
        <v>232</v>
      </c>
      <c r="M3">
        <v>28</v>
      </c>
      <c r="N3">
        <v>15</v>
      </c>
      <c r="O3">
        <v>4</v>
      </c>
      <c r="P3" s="6">
        <v>2.4185068349106205</v>
      </c>
      <c r="Q3" s="5">
        <v>3518.7</v>
      </c>
      <c r="R3" s="5">
        <v>96.2</v>
      </c>
      <c r="S3" s="7">
        <v>0.48264984227129337</v>
      </c>
      <c r="T3" s="6">
        <v>2.227129337539432</v>
      </c>
      <c r="U3" s="8">
        <v>1.0515247108307046</v>
      </c>
    </row>
    <row r="4" spans="1:21" ht="12.75">
      <c r="A4">
        <v>3</v>
      </c>
      <c r="B4" t="s">
        <v>226</v>
      </c>
      <c r="F4" t="s">
        <v>70</v>
      </c>
      <c r="H4" t="s">
        <v>55</v>
      </c>
      <c r="I4">
        <v>1999</v>
      </c>
      <c r="J4">
        <v>1</v>
      </c>
      <c r="K4">
        <v>1</v>
      </c>
      <c r="L4" t="s">
        <v>231</v>
      </c>
      <c r="M4">
        <v>15</v>
      </c>
      <c r="N4">
        <v>7</v>
      </c>
      <c r="O4">
        <v>4</v>
      </c>
      <c r="P4" s="6">
        <v>0</v>
      </c>
      <c r="Q4" s="5">
        <v>1073</v>
      </c>
      <c r="R4" s="5">
        <v>3.7</v>
      </c>
      <c r="S4" s="7">
        <v>0.8689655172413793</v>
      </c>
      <c r="T4" s="6">
        <v>1.3620689655172413</v>
      </c>
      <c r="U4" s="8">
        <v>3.4482758620689653</v>
      </c>
    </row>
    <row r="5" spans="1:33" ht="12.75">
      <c r="A5">
        <v>4</v>
      </c>
      <c r="B5" t="s">
        <v>218</v>
      </c>
      <c r="F5" t="s">
        <v>71</v>
      </c>
      <c r="H5" t="s">
        <v>56</v>
      </c>
      <c r="I5">
        <v>1999</v>
      </c>
      <c r="J5">
        <v>4</v>
      </c>
      <c r="K5">
        <v>2</v>
      </c>
      <c r="L5" s="9" t="s">
        <v>233</v>
      </c>
      <c r="M5">
        <v>37</v>
      </c>
      <c r="N5">
        <v>19</v>
      </c>
      <c r="O5">
        <v>10</v>
      </c>
      <c r="P5" s="6">
        <v>2.2818791946308723</v>
      </c>
      <c r="Q5" s="5">
        <v>5513</v>
      </c>
      <c r="R5" s="5">
        <v>125.8</v>
      </c>
      <c r="S5" s="7">
        <v>0.5677852348993289</v>
      </c>
      <c r="T5" s="6">
        <v>2.836241610738255</v>
      </c>
      <c r="U5" s="8">
        <v>1.5436241610738255</v>
      </c>
      <c r="AD5" t="s">
        <v>223</v>
      </c>
      <c r="AE5" t="s">
        <v>222</v>
      </c>
      <c r="AF5" t="s">
        <v>341</v>
      </c>
      <c r="AG5" t="s">
        <v>238</v>
      </c>
    </row>
    <row r="6" spans="1:33" ht="14.25">
      <c r="A6">
        <v>5</v>
      </c>
      <c r="B6" t="s">
        <v>322</v>
      </c>
      <c r="F6" t="s">
        <v>71</v>
      </c>
      <c r="H6" t="s">
        <v>57</v>
      </c>
      <c r="I6">
        <v>1999</v>
      </c>
      <c r="J6">
        <v>4</v>
      </c>
      <c r="K6">
        <v>2</v>
      </c>
      <c r="L6" s="9" t="s">
        <v>233</v>
      </c>
      <c r="M6">
        <v>34</v>
      </c>
      <c r="N6">
        <v>17</v>
      </c>
      <c r="O6">
        <v>7</v>
      </c>
      <c r="P6" s="6">
        <v>3.048264182895851</v>
      </c>
      <c r="Q6" s="5">
        <v>4369.7</v>
      </c>
      <c r="R6" s="5">
        <v>140.6</v>
      </c>
      <c r="S6" s="7">
        <v>0.632514817950889</v>
      </c>
      <c r="T6" s="6">
        <v>3.52497883149873</v>
      </c>
      <c r="U6" s="8">
        <v>8.128704487722269</v>
      </c>
      <c r="AD6" t="s">
        <v>221</v>
      </c>
      <c r="AE6" t="s">
        <v>221</v>
      </c>
      <c r="AF6" t="s">
        <v>329</v>
      </c>
      <c r="AG6" t="s">
        <v>244</v>
      </c>
    </row>
    <row r="7" spans="1:33" ht="12.75">
      <c r="A7">
        <v>6</v>
      </c>
      <c r="B7" t="s">
        <v>323</v>
      </c>
      <c r="F7" t="s">
        <v>69</v>
      </c>
      <c r="H7" t="s">
        <v>58</v>
      </c>
      <c r="I7">
        <v>1999</v>
      </c>
      <c r="J7">
        <v>3</v>
      </c>
      <c r="K7">
        <v>2</v>
      </c>
      <c r="L7" s="9" t="s">
        <v>232</v>
      </c>
      <c r="M7">
        <v>24</v>
      </c>
      <c r="N7">
        <v>12</v>
      </c>
      <c r="O7">
        <v>8</v>
      </c>
      <c r="P7" s="6">
        <v>3.146067415730337</v>
      </c>
      <c r="Q7" s="5">
        <v>13172</v>
      </c>
      <c r="R7" s="5">
        <v>325.6</v>
      </c>
      <c r="S7" s="7">
        <v>0.3325842696629214</v>
      </c>
      <c r="T7" s="6">
        <v>3.3820224719101124</v>
      </c>
      <c r="U7" s="8">
        <v>21.573033707865168</v>
      </c>
      <c r="Y7" s="3" t="s">
        <v>568</v>
      </c>
      <c r="Z7">
        <v>1999</v>
      </c>
      <c r="AA7" t="s">
        <v>345</v>
      </c>
      <c r="AD7" s="18">
        <f>'Data +prelim graphs'!R173</f>
        <v>24.4</v>
      </c>
      <c r="AE7" s="18">
        <f>'Data +prelim graphs'!R178</f>
        <v>11.4</v>
      </c>
      <c r="AF7" s="18">
        <f>'Data +prelim graphs'!R187</f>
        <v>278.24</v>
      </c>
      <c r="AG7" s="33">
        <f>'Data +prelim graphs'!R177</f>
        <v>0.3736060478068201</v>
      </c>
    </row>
    <row r="8" spans="9:33" ht="12.75">
      <c r="I8" s="12">
        <v>1999</v>
      </c>
      <c r="M8" s="12">
        <f aca="true" t="shared" si="0" ref="M8:S8">AVERAGE(M3:M7)</f>
        <v>27.6</v>
      </c>
      <c r="N8" s="12">
        <f t="shared" si="0"/>
        <v>14</v>
      </c>
      <c r="O8" s="12">
        <f t="shared" si="0"/>
        <v>6.6</v>
      </c>
      <c r="P8" s="13">
        <f t="shared" si="0"/>
        <v>2.178943525633536</v>
      </c>
      <c r="Q8" s="14">
        <f t="shared" si="0"/>
        <v>5529.280000000001</v>
      </c>
      <c r="R8" s="12">
        <f t="shared" si="0"/>
        <v>138.38</v>
      </c>
      <c r="S8" s="15">
        <f t="shared" si="0"/>
        <v>0.5768999364051625</v>
      </c>
      <c r="T8" s="13">
        <f>AVERAGE(T3:T7)</f>
        <v>2.666488243440754</v>
      </c>
      <c r="U8" s="13">
        <f>AVERAGE(U3:U7)</f>
        <v>7.149032585912186</v>
      </c>
      <c r="Z8">
        <v>2000</v>
      </c>
      <c r="AD8" s="18">
        <f>'Data +prelim graphs'!Y173</f>
        <v>34.4</v>
      </c>
      <c r="AE8" s="18">
        <f>'Data +prelim graphs'!Y178</f>
        <v>10.8</v>
      </c>
      <c r="AF8" s="18">
        <f>'Data +prelim graphs'!Y187</f>
        <v>334.48</v>
      </c>
      <c r="AG8" s="33">
        <f>'Data +prelim graphs'!Y177</f>
        <v>0.2912938991828452</v>
      </c>
    </row>
    <row r="9" spans="9:45" ht="12.75">
      <c r="I9" s="12"/>
      <c r="M9" s="12"/>
      <c r="N9" s="12"/>
      <c r="O9" s="12"/>
      <c r="P9" s="13"/>
      <c r="Q9" s="14"/>
      <c r="R9" s="12"/>
      <c r="S9" s="15"/>
      <c r="T9" s="13"/>
      <c r="U9" s="13"/>
      <c r="AD9" s="18"/>
      <c r="AE9" s="18"/>
      <c r="AF9" s="18"/>
      <c r="AG9" s="33"/>
      <c r="AS9" t="s">
        <v>422</v>
      </c>
    </row>
    <row r="10" spans="10:45" ht="12.75">
      <c r="M10" s="16">
        <f aca="true" t="shared" si="1" ref="M10:U10">STDEV(M3:M7)</f>
        <v>8.677557259966653</v>
      </c>
      <c r="N10" s="16">
        <f t="shared" si="1"/>
        <v>4.69041575982343</v>
      </c>
      <c r="O10" s="16">
        <f t="shared" si="1"/>
        <v>2.607680962081059</v>
      </c>
      <c r="P10" s="16">
        <f t="shared" si="1"/>
        <v>1.2754242669542333</v>
      </c>
      <c r="Q10" s="14">
        <f t="shared" si="1"/>
        <v>4573.207932841016</v>
      </c>
      <c r="R10" s="16">
        <f t="shared" si="1"/>
        <v>117.40141396082078</v>
      </c>
      <c r="S10" s="15">
        <f t="shared" si="1"/>
        <v>0.19814869517740397</v>
      </c>
      <c r="T10" s="16">
        <f t="shared" si="1"/>
        <v>0.8905556451476675</v>
      </c>
      <c r="U10" s="16">
        <f t="shared" si="1"/>
        <v>8.533864476693683</v>
      </c>
      <c r="Z10">
        <v>2002</v>
      </c>
      <c r="AA10" t="s">
        <v>348</v>
      </c>
      <c r="AD10" s="12">
        <f>'Data +prelim graphs'!AQ173</f>
        <v>38.6</v>
      </c>
      <c r="AE10" s="12">
        <f>'Data +prelim graphs'!AQ178</f>
        <v>16.6</v>
      </c>
      <c r="AF10" s="12">
        <f>'Data +prelim graphs'!AQ187</f>
        <v>811.0400000000002</v>
      </c>
      <c r="AG10" s="15">
        <f>'Data +prelim graphs'!AQ177</f>
        <v>0.2153483477502895</v>
      </c>
      <c r="AS10" t="s">
        <v>423</v>
      </c>
    </row>
    <row r="11" spans="1:33" ht="12.75">
      <c r="A11" t="s">
        <v>331</v>
      </c>
      <c r="F11" t="s">
        <v>69</v>
      </c>
      <c r="H11" t="s">
        <v>59</v>
      </c>
      <c r="I11">
        <v>1999</v>
      </c>
      <c r="J11">
        <v>3</v>
      </c>
      <c r="K11">
        <v>2</v>
      </c>
      <c r="L11" s="9" t="s">
        <v>232</v>
      </c>
      <c r="M11">
        <v>28</v>
      </c>
      <c r="N11">
        <v>14</v>
      </c>
      <c r="O11">
        <v>8</v>
      </c>
      <c r="P11" s="6">
        <v>1.0954616588419406</v>
      </c>
      <c r="Q11" s="5">
        <v>18914.4</v>
      </c>
      <c r="R11" s="5">
        <v>207.2</v>
      </c>
      <c r="S11" s="7">
        <v>0.48982785602503914</v>
      </c>
      <c r="T11" s="6">
        <v>2.6181533646322377</v>
      </c>
      <c r="U11" s="8">
        <v>21.12676056338028</v>
      </c>
      <c r="Z11">
        <v>2003</v>
      </c>
      <c r="AD11" s="12">
        <f>'Data +prelim graphs'!BS173</f>
        <v>39.2</v>
      </c>
      <c r="AE11" s="12">
        <f>'Data +prelim graphs'!BS178</f>
        <v>16.4</v>
      </c>
      <c r="AF11" s="14">
        <f>'Data +prelim graphs'!BS187</f>
        <v>805.1200000000001</v>
      </c>
      <c r="AG11" s="15">
        <f>'Data +prelim graphs'!BS177</f>
        <v>0.2381472190973855</v>
      </c>
    </row>
    <row r="12" spans="10:45" ht="12.75">
      <c r="L12" s="9"/>
      <c r="P12" s="6"/>
      <c r="Q12" s="5"/>
      <c r="R12" s="5"/>
      <c r="S12" s="7"/>
      <c r="T12" s="6"/>
      <c r="U12" s="8"/>
      <c r="AD12" s="12"/>
      <c r="AE12" s="12"/>
      <c r="AF12" s="14"/>
      <c r="AG12" s="15"/>
      <c r="AS12" t="s">
        <v>424</v>
      </c>
    </row>
    <row r="13" spans="1:33" ht="12.75">
      <c r="A13">
        <v>1</v>
      </c>
      <c r="B13" t="s">
        <v>332</v>
      </c>
      <c r="F13" t="s">
        <v>69</v>
      </c>
      <c r="H13" t="s">
        <v>60</v>
      </c>
      <c r="I13">
        <v>1999</v>
      </c>
      <c r="J13">
        <v>3</v>
      </c>
      <c r="K13">
        <v>2</v>
      </c>
      <c r="L13" s="9" t="s">
        <v>232</v>
      </c>
      <c r="M13">
        <v>20</v>
      </c>
      <c r="N13">
        <v>9</v>
      </c>
      <c r="O13">
        <v>7</v>
      </c>
      <c r="P13" s="6">
        <v>1.3623978201634876</v>
      </c>
      <c r="Q13" s="5">
        <v>10863.2</v>
      </c>
      <c r="R13" s="5">
        <v>148</v>
      </c>
      <c r="S13" s="7">
        <v>0.44141689373297005</v>
      </c>
      <c r="T13" s="6">
        <v>2.915531335149864</v>
      </c>
      <c r="U13" s="8">
        <v>24.795640326975477</v>
      </c>
      <c r="Z13">
        <v>2007</v>
      </c>
      <c r="AD13">
        <f>'Data +prelim graphs'!CU173</f>
        <v>32.6</v>
      </c>
      <c r="AE13">
        <f>'Data +prelim graphs'!CU178</f>
        <v>12.6</v>
      </c>
      <c r="AF13">
        <f>'Data +prelim graphs'!CU187</f>
        <v>520.96</v>
      </c>
      <c r="AG13">
        <f>'Data +prelim graphs'!CU177</f>
        <v>0.2682360784241898</v>
      </c>
    </row>
    <row r="14" spans="1:45" ht="12.75">
      <c r="A14">
        <v>2</v>
      </c>
      <c r="B14" t="s">
        <v>333</v>
      </c>
      <c r="F14" t="s">
        <v>140</v>
      </c>
      <c r="H14" t="s">
        <v>61</v>
      </c>
      <c r="I14">
        <v>1999</v>
      </c>
      <c r="J14">
        <v>2</v>
      </c>
      <c r="K14">
        <v>1</v>
      </c>
      <c r="L14" s="4" t="s">
        <v>236</v>
      </c>
      <c r="M14">
        <v>23</v>
      </c>
      <c r="N14">
        <v>11</v>
      </c>
      <c r="O14">
        <v>7</v>
      </c>
      <c r="P14" s="6">
        <v>1.3282732447817838</v>
      </c>
      <c r="Q14" s="5">
        <v>15599.2</v>
      </c>
      <c r="R14" s="5">
        <v>236.8</v>
      </c>
      <c r="S14" s="7">
        <v>0.33396584440227706</v>
      </c>
      <c r="T14" s="6">
        <v>3.3605313092979125</v>
      </c>
      <c r="U14" s="8">
        <v>38.89943074003795</v>
      </c>
      <c r="Z14">
        <v>2008</v>
      </c>
      <c r="AD14">
        <f>'Data +prelim graphs'!DV173</f>
        <v>33</v>
      </c>
      <c r="AE14" s="6">
        <f>'Data +prelim graphs'!DV178</f>
        <v>12.8</v>
      </c>
      <c r="AF14" s="6">
        <f>'Data +prelim graphs'!DV187</f>
        <v>520.96</v>
      </c>
      <c r="AG14" s="6">
        <f>'Data +prelim graphs'!DV177</f>
        <v>0.40282607239644663</v>
      </c>
      <c r="AS14" t="s">
        <v>427</v>
      </c>
    </row>
    <row r="15" spans="1:21" ht="12.75">
      <c r="A15">
        <v>3</v>
      </c>
      <c r="B15" t="s">
        <v>334</v>
      </c>
      <c r="F15" t="s">
        <v>140</v>
      </c>
      <c r="H15" t="s">
        <v>62</v>
      </c>
      <c r="I15">
        <v>1999</v>
      </c>
      <c r="J15">
        <v>2</v>
      </c>
      <c r="K15">
        <v>1</v>
      </c>
      <c r="L15" s="4" t="s">
        <v>236</v>
      </c>
      <c r="M15">
        <v>27</v>
      </c>
      <c r="N15">
        <v>13</v>
      </c>
      <c r="O15">
        <v>7</v>
      </c>
      <c r="P15" s="6">
        <v>0.6006006006006006</v>
      </c>
      <c r="Q15" s="5">
        <v>19713.6</v>
      </c>
      <c r="R15" s="5">
        <v>118.4</v>
      </c>
      <c r="S15" s="7">
        <v>0.2132132132132132</v>
      </c>
      <c r="T15" s="6">
        <v>3.9234234234234235</v>
      </c>
      <c r="U15" s="8">
        <v>60.96096096096096</v>
      </c>
    </row>
    <row r="16" spans="6:33" ht="12.75">
      <c r="F16" t="s">
        <v>72</v>
      </c>
      <c r="H16" t="s">
        <v>63</v>
      </c>
      <c r="I16">
        <v>1999</v>
      </c>
      <c r="J16">
        <v>3</v>
      </c>
      <c r="K16">
        <v>2</v>
      </c>
      <c r="L16" s="9" t="s">
        <v>232</v>
      </c>
      <c r="M16">
        <v>29</v>
      </c>
      <c r="N16">
        <v>15</v>
      </c>
      <c r="O16">
        <v>6</v>
      </c>
      <c r="P16" s="6">
        <v>3.485838779956427</v>
      </c>
      <c r="Q16" s="5">
        <v>13586.4</v>
      </c>
      <c r="R16" s="5">
        <v>414.4</v>
      </c>
      <c r="S16" s="7">
        <v>0.3660130718954248</v>
      </c>
      <c r="T16" s="6">
        <v>2.505446623093682</v>
      </c>
      <c r="U16" s="8">
        <v>19.607843137254903</v>
      </c>
      <c r="Y16" s="3" t="s">
        <v>569</v>
      </c>
      <c r="Z16">
        <v>1999</v>
      </c>
      <c r="AA16" t="s">
        <v>346</v>
      </c>
      <c r="AD16" s="18">
        <f>'Data +prelim graphs'!K173</f>
        <v>27</v>
      </c>
      <c r="AE16" s="18">
        <f>'Data +prelim graphs'!K178</f>
        <v>13.4</v>
      </c>
      <c r="AF16" s="18">
        <f>'Data +prelim graphs'!K187</f>
        <v>219.78000000000003</v>
      </c>
      <c r="AG16" s="33">
        <f>'Data +prelim graphs'!K177</f>
        <v>0.5792276724200022</v>
      </c>
    </row>
    <row r="17" spans="9:33" ht="12.75">
      <c r="I17" s="12">
        <v>1999</v>
      </c>
      <c r="M17" s="12">
        <f aca="true" t="shared" si="2" ref="M17:S17">AVERAGE(M11:M16)</f>
        <v>25.4</v>
      </c>
      <c r="N17" s="12">
        <f t="shared" si="2"/>
        <v>12.4</v>
      </c>
      <c r="O17" s="12">
        <f t="shared" si="2"/>
        <v>7</v>
      </c>
      <c r="P17" s="13">
        <f t="shared" si="2"/>
        <v>1.574514420868848</v>
      </c>
      <c r="Q17" s="14">
        <f t="shared" si="2"/>
        <v>15735.36</v>
      </c>
      <c r="R17" s="12">
        <f t="shared" si="2"/>
        <v>224.95999999999998</v>
      </c>
      <c r="S17" s="15">
        <f t="shared" si="2"/>
        <v>0.36888737585378484</v>
      </c>
      <c r="T17" s="13">
        <f>AVERAGE(T11:T16)</f>
        <v>3.0646172111194243</v>
      </c>
      <c r="U17" s="13">
        <f>AVERAGE(U11:U16)</f>
        <v>33.07812714572192</v>
      </c>
      <c r="Z17">
        <v>2000</v>
      </c>
      <c r="AD17" s="18">
        <f>'Data +prelim graphs'!AF173</f>
        <v>37.2</v>
      </c>
      <c r="AE17" s="18">
        <f>'Data +prelim graphs'!AF178</f>
        <v>14.8</v>
      </c>
      <c r="AF17" s="18">
        <f>'Data +prelim graphs'!AF187</f>
        <v>695.6000000000001</v>
      </c>
      <c r="AG17" s="33">
        <f>'Data +prelim graphs'!AF177</f>
        <v>0.2524898316966828</v>
      </c>
    </row>
    <row r="18" spans="9:33" ht="12.75">
      <c r="I18" s="12"/>
      <c r="M18" s="12"/>
      <c r="N18" s="12"/>
      <c r="O18" s="12"/>
      <c r="P18" s="13"/>
      <c r="Q18" s="14"/>
      <c r="R18" s="12"/>
      <c r="S18" s="15"/>
      <c r="T18" s="13"/>
      <c r="U18" s="13"/>
      <c r="AD18" s="18"/>
      <c r="AE18" s="18"/>
      <c r="AF18" s="18"/>
      <c r="AG18" s="33"/>
    </row>
    <row r="19" spans="10:33" ht="12.75">
      <c r="M19" s="16">
        <f aca="true" t="shared" si="3" ref="M19:U19">STDEV(M11:M16)</f>
        <v>3.7815340802378015</v>
      </c>
      <c r="N19" s="16">
        <f t="shared" si="3"/>
        <v>2.4083189157584615</v>
      </c>
      <c r="O19" s="16">
        <f t="shared" si="3"/>
        <v>0.7071067811865476</v>
      </c>
      <c r="P19" s="16">
        <f t="shared" si="3"/>
        <v>1.110944266474717</v>
      </c>
      <c r="Q19" s="14">
        <f t="shared" si="3"/>
        <v>3684.67096604296</v>
      </c>
      <c r="R19" s="16">
        <f t="shared" si="3"/>
        <v>115.78103471639908</v>
      </c>
      <c r="S19" s="15">
        <f t="shared" si="3"/>
        <v>0.10647693483079725</v>
      </c>
      <c r="T19" s="16">
        <f t="shared" si="3"/>
        <v>0.5829540236887298</v>
      </c>
      <c r="U19" s="16">
        <f t="shared" si="3"/>
        <v>17.350960344188557</v>
      </c>
      <c r="Z19">
        <v>2002</v>
      </c>
      <c r="AA19" t="s">
        <v>347</v>
      </c>
      <c r="AD19" s="12">
        <f>'Data +prelim graphs'!AX173</f>
        <v>42.6</v>
      </c>
      <c r="AE19" s="12">
        <f>'Data +prelim graphs'!AX178</f>
        <v>15.2</v>
      </c>
      <c r="AF19" s="12">
        <f>'Data +prelim graphs'!AX187</f>
        <v>668.96</v>
      </c>
      <c r="AG19" s="15">
        <f>'Data +prelim graphs'!AX177</f>
        <v>0.17495451397319808</v>
      </c>
    </row>
    <row r="20" spans="6:33" ht="12.75">
      <c r="F20" t="s">
        <v>167</v>
      </c>
      <c r="H20" t="s">
        <v>54</v>
      </c>
      <c r="I20">
        <v>2000</v>
      </c>
      <c r="J20">
        <v>1</v>
      </c>
      <c r="K20">
        <v>1</v>
      </c>
      <c r="L20" t="s">
        <v>231</v>
      </c>
      <c r="M20">
        <v>32</v>
      </c>
      <c r="N20">
        <v>10</v>
      </c>
      <c r="O20">
        <v>10</v>
      </c>
      <c r="P20" s="6">
        <v>3.6281179138321997</v>
      </c>
      <c r="Q20" s="5">
        <v>13053.6</v>
      </c>
      <c r="R20" s="5">
        <v>414.4</v>
      </c>
      <c r="S20" s="7">
        <v>0.25170068027210885</v>
      </c>
      <c r="T20" s="6">
        <v>4.587301587301587</v>
      </c>
      <c r="U20" s="8">
        <v>67.12018140589569</v>
      </c>
      <c r="Z20">
        <v>2003</v>
      </c>
      <c r="AD20" s="12">
        <f>'Data +prelim graphs'!BZ173</f>
        <v>47</v>
      </c>
      <c r="AE20" s="12">
        <f>'Data +prelim graphs'!BZ178</f>
        <v>16.8</v>
      </c>
      <c r="AF20" s="14">
        <f>'Data +prelim graphs'!BZ187</f>
        <v>763.6800000000001</v>
      </c>
      <c r="AG20" s="15">
        <f>'Data +prelim graphs'!BZ177</f>
        <v>0.22939533265913514</v>
      </c>
    </row>
    <row r="21" spans="10:33" ht="12.75">
      <c r="P21" s="6"/>
      <c r="Q21" s="5"/>
      <c r="R21" s="5"/>
      <c r="S21" s="7"/>
      <c r="T21" s="6"/>
      <c r="U21" s="8"/>
      <c r="AD21" s="12"/>
      <c r="AE21" s="12"/>
      <c r="AF21" s="14"/>
      <c r="AG21" s="15"/>
    </row>
    <row r="22" spans="6:33" ht="12.75">
      <c r="F22" t="s">
        <v>167</v>
      </c>
      <c r="H22" t="s">
        <v>55</v>
      </c>
      <c r="I22">
        <v>2000</v>
      </c>
      <c r="J22">
        <v>1</v>
      </c>
      <c r="K22">
        <v>1</v>
      </c>
      <c r="L22" t="s">
        <v>231</v>
      </c>
      <c r="M22">
        <v>34</v>
      </c>
      <c r="N22">
        <v>9</v>
      </c>
      <c r="O22">
        <v>12</v>
      </c>
      <c r="P22" s="6">
        <v>1.971326164874552</v>
      </c>
      <c r="Q22" s="5">
        <v>16516.8</v>
      </c>
      <c r="R22" s="5">
        <v>207.2</v>
      </c>
      <c r="S22" s="7">
        <v>0.36379928315412186</v>
      </c>
      <c r="T22" s="6">
        <v>5.28494623655914</v>
      </c>
      <c r="U22" s="8">
        <v>76.16487455197132</v>
      </c>
      <c r="Z22">
        <v>2007</v>
      </c>
      <c r="AD22">
        <f>'Data +prelim graphs'!DD173</f>
        <v>38.2</v>
      </c>
      <c r="AE22">
        <f>'Data +prelim graphs'!DD178</f>
        <v>15.8</v>
      </c>
      <c r="AF22" s="6">
        <f>'Data +prelim graphs'!DD187</f>
        <v>1245.1733333333334</v>
      </c>
      <c r="AG22">
        <f>'Data +prelim graphs'!DD177</f>
        <v>0.24163180289083058</v>
      </c>
    </row>
    <row r="23" spans="6:33" ht="12.75">
      <c r="F23" t="s">
        <v>167</v>
      </c>
      <c r="H23" t="s">
        <v>56</v>
      </c>
      <c r="I23">
        <v>2000</v>
      </c>
      <c r="J23">
        <v>1</v>
      </c>
      <c r="K23">
        <v>1</v>
      </c>
      <c r="L23" t="s">
        <v>231</v>
      </c>
      <c r="M23">
        <v>32</v>
      </c>
      <c r="N23">
        <v>12</v>
      </c>
      <c r="O23">
        <v>10</v>
      </c>
      <c r="P23" s="6">
        <v>1.277139208173691</v>
      </c>
      <c r="Q23" s="5">
        <v>23176.8</v>
      </c>
      <c r="R23" s="5">
        <v>296</v>
      </c>
      <c r="S23" s="7">
        <v>0.26181353767560667</v>
      </c>
      <c r="T23" s="6">
        <v>4.300127713920817</v>
      </c>
      <c r="U23" s="8">
        <v>63.090676883780326</v>
      </c>
      <c r="Z23">
        <v>2008</v>
      </c>
      <c r="AD23">
        <f>'Data +prelim graphs'!EF173</f>
        <v>39.4</v>
      </c>
      <c r="AE23">
        <f>'Data +prelim graphs'!EF178</f>
        <v>14.8</v>
      </c>
      <c r="AF23">
        <f>'Data +prelim graphs'!EF187</f>
        <v>576.2133333333334</v>
      </c>
      <c r="AG23">
        <f>'Data +prelim graphs'!EF177</f>
        <v>0.3799439909121814</v>
      </c>
    </row>
    <row r="24" spans="6:21" ht="12.75">
      <c r="F24" t="s">
        <v>193</v>
      </c>
      <c r="H24" t="s">
        <v>57</v>
      </c>
      <c r="I24">
        <v>2000</v>
      </c>
      <c r="J24">
        <v>1</v>
      </c>
      <c r="K24">
        <v>1</v>
      </c>
      <c r="L24" t="s">
        <v>231</v>
      </c>
      <c r="M24">
        <v>43</v>
      </c>
      <c r="N24">
        <v>14</v>
      </c>
      <c r="O24">
        <v>16</v>
      </c>
      <c r="P24" s="6">
        <v>1.4002333722287048</v>
      </c>
      <c r="Q24" s="5">
        <v>12683.6</v>
      </c>
      <c r="R24" s="5">
        <v>133.2</v>
      </c>
      <c r="S24" s="7">
        <v>0.3045507584597433</v>
      </c>
      <c r="T24" s="6">
        <v>5.028004667444574</v>
      </c>
      <c r="U24" s="8">
        <v>73.16219369894984</v>
      </c>
    </row>
    <row r="25" spans="6:33" ht="12.75">
      <c r="F25" t="s">
        <v>69</v>
      </c>
      <c r="H25" t="s">
        <v>58</v>
      </c>
      <c r="I25">
        <v>2000</v>
      </c>
      <c r="J25">
        <v>3</v>
      </c>
      <c r="K25">
        <v>2</v>
      </c>
      <c r="L25" s="9" t="s">
        <v>232</v>
      </c>
      <c r="M25">
        <v>37</v>
      </c>
      <c r="N25">
        <v>15</v>
      </c>
      <c r="O25">
        <v>12</v>
      </c>
      <c r="P25" s="6">
        <v>2.095808383233533</v>
      </c>
      <c r="Q25" s="5">
        <v>19772.8</v>
      </c>
      <c r="R25" s="5">
        <v>296</v>
      </c>
      <c r="S25" s="7">
        <v>0.27395209580838326</v>
      </c>
      <c r="T25" s="6">
        <v>2.980538922155689</v>
      </c>
      <c r="U25" s="8">
        <v>20.65868263473054</v>
      </c>
      <c r="Y25" s="3" t="s">
        <v>570</v>
      </c>
      <c r="Z25">
        <v>2002</v>
      </c>
      <c r="AA25" t="s">
        <v>349</v>
      </c>
      <c r="AD25" s="35">
        <f>'Data +prelim graphs'!BG173</f>
        <v>40.6</v>
      </c>
      <c r="AE25" s="35">
        <f>'Data +prelim graphs'!BG178</f>
        <v>14.2</v>
      </c>
      <c r="AF25" s="35">
        <f>'Data +prelim graphs'!BG187</f>
        <v>574.24</v>
      </c>
      <c r="AG25" s="36">
        <f>'Data +prelim graphs'!BG177</f>
        <v>0.2092745755667702</v>
      </c>
    </row>
    <row r="26" spans="9:33" ht="12.75">
      <c r="I26" s="12">
        <v>2000</v>
      </c>
      <c r="L26" s="9"/>
      <c r="M26" s="12">
        <f aca="true" t="shared" si="4" ref="M26:S26">AVERAGE(M20:M25)</f>
        <v>35.6</v>
      </c>
      <c r="N26" s="12">
        <f t="shared" si="4"/>
        <v>12</v>
      </c>
      <c r="O26" s="12">
        <f t="shared" si="4"/>
        <v>12</v>
      </c>
      <c r="P26" s="13">
        <f t="shared" si="4"/>
        <v>2.074525008468536</v>
      </c>
      <c r="Q26" s="14">
        <f t="shared" si="4"/>
        <v>17040.719999999998</v>
      </c>
      <c r="R26" s="12">
        <f t="shared" si="4"/>
        <v>269.36</v>
      </c>
      <c r="S26" s="15">
        <f t="shared" si="4"/>
        <v>0.29116327107399276</v>
      </c>
      <c r="T26" s="13">
        <f>AVERAGE(T20:T25)</f>
        <v>4.436183825476361</v>
      </c>
      <c r="U26" s="13">
        <f>AVERAGE(U20:U25)</f>
        <v>60.03932183506555</v>
      </c>
      <c r="Z26">
        <v>2003</v>
      </c>
      <c r="AD26" s="35">
        <f>'Data +prelim graphs'!CI173</f>
        <v>34</v>
      </c>
      <c r="AE26" s="35">
        <f>'Data +prelim graphs'!CI178</f>
        <v>11.4</v>
      </c>
      <c r="AF26" s="38">
        <f>'Data +prelim graphs'!CI187</f>
        <v>124.32000000000002</v>
      </c>
      <c r="AG26" s="36">
        <f>'Data +prelim graphs'!CI177</f>
        <v>0.28189114695047934</v>
      </c>
    </row>
    <row r="27" spans="9:33" ht="12.75">
      <c r="I27" s="12"/>
      <c r="L27" s="9"/>
      <c r="M27" s="12"/>
      <c r="N27" s="12"/>
      <c r="O27" s="12"/>
      <c r="P27" s="13"/>
      <c r="Q27" s="14"/>
      <c r="R27" s="12"/>
      <c r="S27" s="15"/>
      <c r="T27" s="13"/>
      <c r="U27" s="13"/>
      <c r="AD27" s="35"/>
      <c r="AE27" s="35"/>
      <c r="AF27" s="38"/>
      <c r="AG27" s="36"/>
    </row>
    <row r="28" spans="10:33" ht="12.75">
      <c r="M28" s="16">
        <f aca="true" t="shared" si="5" ref="M28:U28">STDEV(M20:M25)</f>
        <v>4.615192303685726</v>
      </c>
      <c r="N28" s="16">
        <f t="shared" si="5"/>
        <v>2.5495097567963922</v>
      </c>
      <c r="O28" s="16">
        <f t="shared" si="5"/>
        <v>2.449489742783178</v>
      </c>
      <c r="P28" s="16">
        <f t="shared" si="5"/>
        <v>0.9374496285363382</v>
      </c>
      <c r="Q28" s="14">
        <f t="shared" si="5"/>
        <v>4479.727995314008</v>
      </c>
      <c r="R28" s="16">
        <f t="shared" si="5"/>
        <v>105.90017941438997</v>
      </c>
      <c r="S28" s="15">
        <f t="shared" si="5"/>
        <v>0.04519442041553682</v>
      </c>
      <c r="T28" s="16">
        <f t="shared" si="5"/>
        <v>0.8987351483403145</v>
      </c>
      <c r="U28" s="16">
        <f t="shared" si="5"/>
        <v>22.597164092556635</v>
      </c>
      <c r="Z28">
        <v>2007</v>
      </c>
      <c r="AD28">
        <f>'Data +prelim graphs'!DM173</f>
        <v>36.6</v>
      </c>
      <c r="AE28">
        <f>'Data +prelim graphs'!DM178</f>
        <v>15.4</v>
      </c>
      <c r="AF28">
        <f>'Data +prelim graphs'!DM187</f>
        <v>554.5066666666667</v>
      </c>
      <c r="AG28">
        <f>'Data +prelim graphs'!DM177</f>
        <v>0.46235727331759957</v>
      </c>
    </row>
    <row r="29" spans="6:33" ht="12.75">
      <c r="F29" t="s">
        <v>69</v>
      </c>
      <c r="H29" t="s">
        <v>59</v>
      </c>
      <c r="I29">
        <v>2000</v>
      </c>
      <c r="J29">
        <v>3</v>
      </c>
      <c r="K29">
        <v>2</v>
      </c>
      <c r="L29" s="9" t="s">
        <v>232</v>
      </c>
      <c r="M29">
        <v>43</v>
      </c>
      <c r="N29">
        <v>19</v>
      </c>
      <c r="O29">
        <v>12</v>
      </c>
      <c r="P29" s="6">
        <v>4.207920792079208</v>
      </c>
      <c r="Q29" s="5">
        <v>23916.8</v>
      </c>
      <c r="R29" s="5">
        <v>947.2</v>
      </c>
      <c r="S29" s="7">
        <v>0.20173267326732675</v>
      </c>
      <c r="T29" s="6">
        <v>3.9542079207920793</v>
      </c>
      <c r="U29" s="8">
        <v>36.88118811881188</v>
      </c>
      <c r="Z29">
        <v>2008</v>
      </c>
      <c r="AD29" t="s">
        <v>551</v>
      </c>
      <c r="AE29" t="s">
        <v>551</v>
      </c>
      <c r="AF29" t="s">
        <v>551</v>
      </c>
      <c r="AG29" t="s">
        <v>551</v>
      </c>
    </row>
    <row r="30" spans="6:21" ht="12.75">
      <c r="F30" t="s">
        <v>71</v>
      </c>
      <c r="H30" t="s">
        <v>60</v>
      </c>
      <c r="I30">
        <v>2000</v>
      </c>
      <c r="J30">
        <v>4</v>
      </c>
      <c r="K30">
        <v>2</v>
      </c>
      <c r="L30" s="9" t="s">
        <v>233</v>
      </c>
      <c r="M30">
        <v>41</v>
      </c>
      <c r="N30">
        <v>19</v>
      </c>
      <c r="O30">
        <v>9</v>
      </c>
      <c r="P30" s="6">
        <v>11.976047904191617</v>
      </c>
      <c r="Q30" s="5">
        <v>9886.4</v>
      </c>
      <c r="R30" s="5">
        <v>917.6</v>
      </c>
      <c r="S30" s="7">
        <v>0.27844311377245506</v>
      </c>
      <c r="T30" s="6">
        <v>3.2604790419161676</v>
      </c>
      <c r="U30" s="8">
        <v>14.97005988023952</v>
      </c>
    </row>
    <row r="31" spans="6:33" ht="12.75">
      <c r="F31" t="s">
        <v>71</v>
      </c>
      <c r="H31" t="s">
        <v>61</v>
      </c>
      <c r="I31">
        <v>2000</v>
      </c>
      <c r="J31">
        <v>4</v>
      </c>
      <c r="K31">
        <v>2</v>
      </c>
      <c r="L31" s="9" t="s">
        <v>233</v>
      </c>
      <c r="M31">
        <v>42</v>
      </c>
      <c r="N31">
        <v>19</v>
      </c>
      <c r="O31">
        <v>9</v>
      </c>
      <c r="P31" s="6">
        <v>6.6339066339066335</v>
      </c>
      <c r="Q31" s="5">
        <v>12047.2</v>
      </c>
      <c r="R31" s="5">
        <v>740</v>
      </c>
      <c r="S31" s="7">
        <v>0.15724815724815724</v>
      </c>
      <c r="T31" s="6">
        <v>3.86977886977887</v>
      </c>
      <c r="U31" s="8">
        <v>28.992628992628994</v>
      </c>
      <c r="Y31" s="3" t="s">
        <v>568</v>
      </c>
      <c r="Z31">
        <v>1999</v>
      </c>
      <c r="AC31" t="s">
        <v>342</v>
      </c>
      <c r="AD31" s="34">
        <f>'Data +prelim graphs'!S173</f>
        <v>3.7815340802378015</v>
      </c>
      <c r="AE31" s="34">
        <f>'Data +prelim graphs'!S178</f>
        <v>2.4083189157584615</v>
      </c>
      <c r="AF31" s="34">
        <f>'Data +prelim graphs'!S187</f>
        <v>183.1855016097071</v>
      </c>
      <c r="AG31" s="33">
        <f>'Data +prelim graphs'!S177</f>
        <v>0.10755470561043175</v>
      </c>
    </row>
    <row r="32" spans="6:33" ht="12.75">
      <c r="F32" t="s">
        <v>70</v>
      </c>
      <c r="H32" t="s">
        <v>62</v>
      </c>
      <c r="I32">
        <v>2000</v>
      </c>
      <c r="J32">
        <v>1</v>
      </c>
      <c r="K32">
        <v>1</v>
      </c>
      <c r="L32" t="s">
        <v>231</v>
      </c>
      <c r="M32">
        <v>33</v>
      </c>
      <c r="N32">
        <v>9</v>
      </c>
      <c r="O32">
        <v>14</v>
      </c>
      <c r="P32" s="6">
        <v>1.8675721561969438</v>
      </c>
      <c r="Q32" s="5">
        <v>8717.2</v>
      </c>
      <c r="R32" s="5">
        <v>207.2</v>
      </c>
      <c r="S32" s="7">
        <v>0.3531409168081494</v>
      </c>
      <c r="T32" s="6">
        <v>3.6162988115449917</v>
      </c>
      <c r="U32" s="8">
        <v>34.974533106960955</v>
      </c>
      <c r="Z32">
        <v>2000</v>
      </c>
      <c r="AC32" t="s">
        <v>343</v>
      </c>
      <c r="AD32" s="34">
        <f>'Data +prelim graphs'!Z173</f>
        <v>4.722287581247033</v>
      </c>
      <c r="AE32" s="34">
        <f>'Data +prelim graphs'!Z178</f>
        <v>2.8635642126552687</v>
      </c>
      <c r="AF32" s="34">
        <f>'Data +prelim graphs'!Z187</f>
        <v>111.54134659398733</v>
      </c>
      <c r="AG32" s="33">
        <f>'Data +prelim graphs'!Z177</f>
        <v>0.04545703155114661</v>
      </c>
    </row>
    <row r="33" spans="10:33" ht="12.75">
      <c r="P33" s="6"/>
      <c r="Q33" s="5"/>
      <c r="R33" s="5"/>
      <c r="S33" s="7"/>
      <c r="T33" s="6"/>
      <c r="U33" s="8"/>
      <c r="AD33" s="34"/>
      <c r="AE33" s="34"/>
      <c r="AF33" s="34"/>
      <c r="AG33" s="33"/>
    </row>
    <row r="34" spans="6:33" ht="12.75">
      <c r="F34" t="s">
        <v>216</v>
      </c>
      <c r="H34" t="s">
        <v>63</v>
      </c>
      <c r="I34">
        <v>2000</v>
      </c>
      <c r="J34">
        <v>1</v>
      </c>
      <c r="K34">
        <v>1</v>
      </c>
      <c r="L34" t="s">
        <v>231</v>
      </c>
      <c r="M34">
        <v>32</v>
      </c>
      <c r="N34">
        <v>13</v>
      </c>
      <c r="O34">
        <v>8</v>
      </c>
      <c r="P34" s="6">
        <v>3.260869565217391</v>
      </c>
      <c r="Q34" s="5">
        <v>10892.8</v>
      </c>
      <c r="R34" s="5">
        <v>236.8</v>
      </c>
      <c r="S34" s="7">
        <v>0.25271739130434784</v>
      </c>
      <c r="T34" s="6">
        <v>3.3315217391304346</v>
      </c>
      <c r="U34" s="8">
        <v>26.902173913043477</v>
      </c>
      <c r="Z34">
        <v>2002</v>
      </c>
      <c r="AD34" s="16">
        <f>'Data +prelim graphs'!AR173</f>
        <v>7.436396977031279</v>
      </c>
      <c r="AE34" s="16">
        <f>'Data +prelim graphs'!AR178</f>
        <v>3.2863353450309982</v>
      </c>
      <c r="AF34" s="16">
        <f>'Data +prelim graphs'!AR187</f>
        <v>141.33806281394882</v>
      </c>
      <c r="AG34" s="15">
        <f>'Data +prelim graphs'!AR177</f>
        <v>0.03377163737907982</v>
      </c>
    </row>
    <row r="35" spans="9:33" ht="12.75">
      <c r="I35" s="12">
        <v>2000</v>
      </c>
      <c r="M35" s="12">
        <f aca="true" t="shared" si="6" ref="M35:U35">AVERAGE(M29:M34)</f>
        <v>38.2</v>
      </c>
      <c r="N35" s="12">
        <f t="shared" si="6"/>
        <v>15.8</v>
      </c>
      <c r="O35" s="12">
        <f t="shared" si="6"/>
        <v>10.4</v>
      </c>
      <c r="P35" s="13">
        <f t="shared" si="6"/>
        <v>5.589263410318358</v>
      </c>
      <c r="Q35" s="14">
        <f t="shared" si="6"/>
        <v>13092.079999999998</v>
      </c>
      <c r="R35" s="12">
        <f t="shared" si="6"/>
        <v>609.76</v>
      </c>
      <c r="S35" s="15">
        <f t="shared" si="6"/>
        <v>0.24865645048008728</v>
      </c>
      <c r="T35" s="13">
        <f t="shared" si="6"/>
        <v>3.6064572766325087</v>
      </c>
      <c r="U35" s="16">
        <f t="shared" si="6"/>
        <v>28.544116802336966</v>
      </c>
      <c r="Z35">
        <v>2003</v>
      </c>
      <c r="AD35" s="16">
        <f>'Data +prelim graphs'!BT173</f>
        <v>4.266145801540314</v>
      </c>
      <c r="AE35" s="16">
        <f>'Data +prelim graphs'!BT178</f>
        <v>2.073644135332775</v>
      </c>
      <c r="AF35" s="14">
        <f>'Data +prelim graphs'!BT187</f>
        <v>302.876133097344</v>
      </c>
      <c r="AG35" s="15">
        <f>'Data +prelim graphs'!BT177</f>
        <v>0.02797925840452818</v>
      </c>
    </row>
    <row r="36" spans="9:33" ht="12.75">
      <c r="I36" s="12"/>
      <c r="M36" s="12"/>
      <c r="N36" s="12"/>
      <c r="O36" s="12"/>
      <c r="P36" s="13"/>
      <c r="Q36" s="14"/>
      <c r="R36" s="12"/>
      <c r="S36" s="15"/>
      <c r="T36" s="13"/>
      <c r="U36" s="16"/>
      <c r="AD36" s="16"/>
      <c r="AE36" s="16"/>
      <c r="AF36" s="14"/>
      <c r="AG36" s="15"/>
    </row>
    <row r="37" spans="13:33" ht="12.75">
      <c r="M37" s="16">
        <f aca="true" t="shared" si="7" ref="M37:T37">STDEV(M29:M34)</f>
        <v>5.263078946776311</v>
      </c>
      <c r="N37" s="16">
        <f t="shared" si="7"/>
        <v>4.604345773288534</v>
      </c>
      <c r="O37" s="16">
        <f t="shared" si="7"/>
        <v>2.509980079602229</v>
      </c>
      <c r="P37" s="16">
        <f t="shared" si="7"/>
        <v>3.970604700597898</v>
      </c>
      <c r="Q37" s="14">
        <f t="shared" si="7"/>
        <v>6174.931762537954</v>
      </c>
      <c r="R37" s="16">
        <f t="shared" si="7"/>
        <v>362.8868253326373</v>
      </c>
      <c r="S37" s="15">
        <f t="shared" si="7"/>
        <v>0.07479648586968893</v>
      </c>
      <c r="T37" s="16">
        <f t="shared" si="7"/>
        <v>0.3105060854552497</v>
      </c>
      <c r="U37" s="16">
        <f>STDEV(U29:U34)</f>
        <v>8.631471093441231</v>
      </c>
      <c r="Z37">
        <v>2007</v>
      </c>
      <c r="AD37" s="6">
        <f>'Data +prelim graphs'!CV173</f>
        <v>4.560701700396547</v>
      </c>
      <c r="AE37" s="6">
        <f>'Data +prelim graphs'!CV178</f>
        <v>3.1304951684997073</v>
      </c>
      <c r="AF37" s="6">
        <f>'Data +prelim graphs'!CV187</f>
        <v>429.3077259444041</v>
      </c>
      <c r="AG37" s="6">
        <f>'Data +prelim graphs'!CV177</f>
        <v>0.04104618377772576</v>
      </c>
    </row>
    <row r="38" spans="9:33" ht="12.75">
      <c r="I38" s="17" t="s">
        <v>337</v>
      </c>
      <c r="J38" s="17"/>
      <c r="M38" s="16">
        <f aca="true" t="shared" si="8" ref="M38:S38">AVERAGE(M3:M7,M20:M25)</f>
        <v>31.6</v>
      </c>
      <c r="N38" s="16">
        <f t="shared" si="8"/>
        <v>13</v>
      </c>
      <c r="O38" s="16">
        <f t="shared" si="8"/>
        <v>9.3</v>
      </c>
      <c r="P38" s="16">
        <f t="shared" si="8"/>
        <v>2.126734267051036</v>
      </c>
      <c r="Q38" s="14">
        <f t="shared" si="8"/>
        <v>11285.000000000002</v>
      </c>
      <c r="R38" s="14">
        <f t="shared" si="8"/>
        <v>203.87</v>
      </c>
      <c r="S38" s="15">
        <f t="shared" si="8"/>
        <v>0.4340316037395776</v>
      </c>
      <c r="Z38">
        <v>2008</v>
      </c>
      <c r="AD38" s="6">
        <f>'Data +prelim graphs'!DW173</f>
        <v>1.4142135623730951</v>
      </c>
      <c r="AE38" s="6">
        <f>'Data +prelim graphs'!DW178</f>
        <v>2.2803508501982734</v>
      </c>
      <c r="AF38" s="6">
        <f>'Data +prelim graphs'!DW187</f>
        <v>525.366415202021</v>
      </c>
      <c r="AG38" s="6">
        <f>'Data +prelim graphs'!DW177</f>
        <v>0.14691077480122855</v>
      </c>
    </row>
    <row r="39" spans="13:19" ht="12.75">
      <c r="M39" s="16">
        <f aca="true" t="shared" si="9" ref="M39:S39">STDEV(M3:M7,M20:M25)</f>
        <v>7.791733511299721</v>
      </c>
      <c r="N39" s="16">
        <f t="shared" si="9"/>
        <v>3.711842908553348</v>
      </c>
      <c r="O39" s="16">
        <f t="shared" si="9"/>
        <v>3.713339317768966</v>
      </c>
      <c r="P39" s="16">
        <f t="shared" si="9"/>
        <v>1.0566894600029533</v>
      </c>
      <c r="Q39" s="14">
        <f t="shared" si="9"/>
        <v>7417.785698501193</v>
      </c>
      <c r="R39" s="14">
        <f t="shared" si="9"/>
        <v>125.99874823011356</v>
      </c>
      <c r="S39" s="15">
        <f t="shared" si="9"/>
        <v>0.20257656136638488</v>
      </c>
    </row>
    <row r="40" spans="9:33" ht="12.75">
      <c r="I40" s="17" t="s">
        <v>338</v>
      </c>
      <c r="J40" s="17"/>
      <c r="M40" s="16">
        <f aca="true" t="shared" si="10" ref="M40:S40">AVERAGE(M11:M16,M29:M34)</f>
        <v>31.8</v>
      </c>
      <c r="N40" s="16">
        <f t="shared" si="10"/>
        <v>14.1</v>
      </c>
      <c r="O40" s="16">
        <f t="shared" si="10"/>
        <v>8.7</v>
      </c>
      <c r="P40" s="16">
        <f t="shared" si="10"/>
        <v>3.5818889155936033</v>
      </c>
      <c r="Q40" s="16">
        <f t="shared" si="10"/>
        <v>14413.719999999998</v>
      </c>
      <c r="R40" s="16">
        <f t="shared" si="10"/>
        <v>417.35999999999996</v>
      </c>
      <c r="S40" s="16">
        <f t="shared" si="10"/>
        <v>0.3087719131669361</v>
      </c>
      <c r="Y40" s="3" t="s">
        <v>569</v>
      </c>
      <c r="Z40">
        <v>1999</v>
      </c>
      <c r="AD40" s="34">
        <f>'Data +prelim graphs'!L173</f>
        <v>9.082951062292475</v>
      </c>
      <c r="AE40" s="34">
        <f>'Data +prelim graphs'!L178</f>
        <v>5.079370039680119</v>
      </c>
      <c r="AF40" s="34">
        <f>'Data +prelim graphs'!L187</f>
        <v>184.7148802885138</v>
      </c>
      <c r="AG40" s="33">
        <f>'Data +prelim graphs'!L177</f>
        <v>0.2002406886907683</v>
      </c>
    </row>
    <row r="41" spans="13:33" ht="12.75">
      <c r="M41" s="16">
        <f aca="true" t="shared" si="11" ref="M41:S41">STDEV(M11:M16,M29:M34)</f>
        <v>8.011103405759897</v>
      </c>
      <c r="N41" s="16">
        <f t="shared" si="11"/>
        <v>3.9001424475410023</v>
      </c>
      <c r="O41" s="16">
        <f t="shared" si="11"/>
        <v>2.4966644414765344</v>
      </c>
      <c r="P41" s="16">
        <f t="shared" si="11"/>
        <v>3.4688313598419622</v>
      </c>
      <c r="Q41" s="16">
        <f t="shared" si="11"/>
        <v>4992.145525122445</v>
      </c>
      <c r="R41" s="16">
        <f t="shared" si="11"/>
        <v>324.98649271076556</v>
      </c>
      <c r="S41" s="16">
        <f t="shared" si="11"/>
        <v>0.10742754474952707</v>
      </c>
      <c r="Z41">
        <v>2000</v>
      </c>
      <c r="AD41" s="34">
        <f>'Data +prelim graphs'!AG173</f>
        <v>4.868264577855239</v>
      </c>
      <c r="AE41" s="34">
        <f>'Data +prelim graphs'!AG178</f>
        <v>4.086563348340508</v>
      </c>
      <c r="AF41" s="34">
        <f>'Data +prelim graphs'!AG187</f>
        <v>401.7866100307474</v>
      </c>
      <c r="AG41" s="33">
        <f>'Data +prelim graphs'!AG177</f>
        <v>0.07484318770713055</v>
      </c>
    </row>
    <row r="42" spans="13:33" ht="12.75">
      <c r="M42" s="16"/>
      <c r="N42" s="16"/>
      <c r="O42" s="16"/>
      <c r="P42" s="16"/>
      <c r="Q42" s="16"/>
      <c r="R42" s="16"/>
      <c r="S42" s="16"/>
      <c r="AD42" s="34"/>
      <c r="AE42" s="34"/>
      <c r="AF42" s="34"/>
      <c r="AG42" s="33"/>
    </row>
    <row r="43" spans="6:33" ht="12.75">
      <c r="F43" t="s">
        <v>274</v>
      </c>
      <c r="H43" t="s">
        <v>252</v>
      </c>
      <c r="I43">
        <v>2002</v>
      </c>
      <c r="J43">
        <v>6</v>
      </c>
      <c r="K43">
        <v>3</v>
      </c>
      <c r="L43" t="s">
        <v>323</v>
      </c>
      <c r="M43">
        <v>41</v>
      </c>
      <c r="N43">
        <v>17</v>
      </c>
      <c r="O43">
        <v>14</v>
      </c>
      <c r="Q43" s="5">
        <v>20364.8</v>
      </c>
      <c r="R43" s="5">
        <v>651.2</v>
      </c>
      <c r="S43" s="7">
        <v>0.2543604651162791</v>
      </c>
      <c r="T43" s="7">
        <v>3.3822674418604652</v>
      </c>
      <c r="U43" s="8">
        <v>21.075581395348838</v>
      </c>
      <c r="Z43">
        <v>2002</v>
      </c>
      <c r="AD43" s="16">
        <f>'Data +prelim graphs'!AY173</f>
        <v>6.841052550594841</v>
      </c>
      <c r="AE43" s="16">
        <f>'Data +prelim graphs'!AY178</f>
        <v>2.5884358211089546</v>
      </c>
      <c r="AF43" s="16">
        <f>'Data +prelim graphs'!AY187</f>
        <v>389.6646352955321</v>
      </c>
      <c r="AG43" s="15">
        <f>'Data +prelim graphs'!AY177</f>
        <v>0.05803084422014685</v>
      </c>
    </row>
    <row r="44" spans="6:33" ht="12.75">
      <c r="F44" t="s">
        <v>274</v>
      </c>
      <c r="H44" t="s">
        <v>253</v>
      </c>
      <c r="I44">
        <v>2002</v>
      </c>
      <c r="J44">
        <v>6</v>
      </c>
      <c r="K44">
        <v>3</v>
      </c>
      <c r="L44" t="s">
        <v>323</v>
      </c>
      <c r="M44">
        <v>47</v>
      </c>
      <c r="N44">
        <v>22</v>
      </c>
      <c r="O44">
        <v>13</v>
      </c>
      <c r="Q44" s="5">
        <v>14740.8</v>
      </c>
      <c r="R44" s="5">
        <v>947.2</v>
      </c>
      <c r="S44" s="7">
        <v>0.24096385542168675</v>
      </c>
      <c r="T44" s="7">
        <v>3.2590361445783134</v>
      </c>
      <c r="U44" s="8">
        <v>18.072289156626507</v>
      </c>
      <c r="Z44">
        <v>2003</v>
      </c>
      <c r="AD44" s="16">
        <f>'Data +prelim graphs'!CA173</f>
        <v>4.06201920231798</v>
      </c>
      <c r="AE44" s="16">
        <f>'Data +prelim graphs'!CA178</f>
        <v>0.4472135954999452</v>
      </c>
      <c r="AF44" s="14">
        <f>'Data +prelim graphs'!CA187</f>
        <v>189.9941893848336</v>
      </c>
      <c r="AG44" s="15">
        <f>'Data +prelim graphs'!CA177</f>
        <v>0.04090406263406414</v>
      </c>
    </row>
    <row r="45" spans="17:33" ht="12.75">
      <c r="Q45" s="5"/>
      <c r="R45" s="5"/>
      <c r="S45" s="7"/>
      <c r="T45" s="7"/>
      <c r="U45" s="8"/>
      <c r="AD45" s="16"/>
      <c r="AE45" s="16"/>
      <c r="AF45" s="14"/>
      <c r="AG45" s="15"/>
    </row>
    <row r="46" spans="6:33" ht="12.75">
      <c r="F46" t="s">
        <v>292</v>
      </c>
      <c r="H46" t="s">
        <v>254</v>
      </c>
      <c r="I46">
        <v>2002</v>
      </c>
      <c r="J46">
        <v>5</v>
      </c>
      <c r="K46">
        <v>3</v>
      </c>
      <c r="L46" t="s">
        <v>322</v>
      </c>
      <c r="M46">
        <v>46</v>
      </c>
      <c r="N46">
        <v>19</v>
      </c>
      <c r="O46">
        <v>15</v>
      </c>
      <c r="Q46" s="5">
        <v>13971.2</v>
      </c>
      <c r="R46" s="5">
        <v>680.8</v>
      </c>
      <c r="S46" s="7">
        <v>0.2033898305084746</v>
      </c>
      <c r="T46" s="7">
        <v>2.8029661016949152</v>
      </c>
      <c r="U46" s="8">
        <v>14.40677966101695</v>
      </c>
      <c r="Z46">
        <v>2007</v>
      </c>
      <c r="AD46" s="6">
        <f>'Data +prelim graphs'!DE173</f>
        <v>4.0249223594996275</v>
      </c>
      <c r="AE46" s="6">
        <f>'Data +prelim graphs'!DE178</f>
        <v>2.0493901531919168</v>
      </c>
      <c r="AF46" s="6">
        <f>'Data +prelim graphs'!DE187</f>
        <v>440.3894680343252</v>
      </c>
      <c r="AG46" s="6">
        <f>'Data +prelim graphs'!DE177</f>
        <v>0.06182705167250065</v>
      </c>
    </row>
    <row r="47" spans="6:33" ht="12.75">
      <c r="F47" t="s">
        <v>292</v>
      </c>
      <c r="H47" t="s">
        <v>255</v>
      </c>
      <c r="I47">
        <v>2002</v>
      </c>
      <c r="J47">
        <v>5</v>
      </c>
      <c r="K47">
        <v>3</v>
      </c>
      <c r="L47" t="s">
        <v>322</v>
      </c>
      <c r="M47">
        <v>34</v>
      </c>
      <c r="N47">
        <v>17</v>
      </c>
      <c r="O47">
        <v>11</v>
      </c>
      <c r="Q47" s="5">
        <v>17582.4</v>
      </c>
      <c r="R47" s="5">
        <v>828.8</v>
      </c>
      <c r="S47" s="7">
        <v>0.15488215488215487</v>
      </c>
      <c r="T47" s="7">
        <v>3.047138047138047</v>
      </c>
      <c r="U47" s="8">
        <v>30.303030303030305</v>
      </c>
      <c r="Z47">
        <v>2008</v>
      </c>
      <c r="AD47" s="6">
        <f>'Data +prelim graphs'!EG173</f>
        <v>4.615192303685726</v>
      </c>
      <c r="AE47" s="6">
        <f>'Data +prelim graphs'!EG178</f>
        <v>2.5884358211089546</v>
      </c>
      <c r="AF47" s="6">
        <f>'Data +prelim graphs'!EG187</f>
        <v>345.8685376459289</v>
      </c>
      <c r="AG47" s="6">
        <f>'Data +prelim graphs'!EG177</f>
        <v>0.08320486849430307</v>
      </c>
    </row>
    <row r="48" spans="6:21" ht="12.75">
      <c r="F48" t="s">
        <v>292</v>
      </c>
      <c r="H48" t="s">
        <v>256</v>
      </c>
      <c r="I48">
        <v>2002</v>
      </c>
      <c r="J48">
        <v>5</v>
      </c>
      <c r="K48">
        <v>3</v>
      </c>
      <c r="L48" t="s">
        <v>322</v>
      </c>
      <c r="M48">
        <v>30</v>
      </c>
      <c r="N48">
        <v>13</v>
      </c>
      <c r="O48">
        <v>9</v>
      </c>
      <c r="Q48" s="5">
        <v>14681.6</v>
      </c>
      <c r="R48" s="5">
        <v>947.2</v>
      </c>
      <c r="S48" s="7">
        <v>0.20967741935483872</v>
      </c>
      <c r="T48" s="7">
        <v>3.8951612903225805</v>
      </c>
      <c r="U48" s="8">
        <v>28.225806451612907</v>
      </c>
    </row>
    <row r="49" spans="9:33" ht="12.75">
      <c r="I49" s="12" t="s">
        <v>339</v>
      </c>
      <c r="M49" s="12">
        <f aca="true" t="shared" si="12" ref="M49:S49">AVERAGE(M43:M48)</f>
        <v>39.6</v>
      </c>
      <c r="N49" s="12">
        <f t="shared" si="12"/>
        <v>17.6</v>
      </c>
      <c r="O49" s="12">
        <f t="shared" si="12"/>
        <v>12.4</v>
      </c>
      <c r="P49" s="13"/>
      <c r="Q49" s="14">
        <f t="shared" si="12"/>
        <v>16268.160000000003</v>
      </c>
      <c r="R49" s="12">
        <f t="shared" si="12"/>
        <v>811.04</v>
      </c>
      <c r="S49" s="15">
        <f t="shared" si="12"/>
        <v>0.21265474505668677</v>
      </c>
      <c r="T49" s="13">
        <f>AVERAGE(T43:T48)</f>
        <v>3.2773138051188644</v>
      </c>
      <c r="U49" s="13">
        <f>AVERAGE(U43:U48)</f>
        <v>22.4166973935271</v>
      </c>
      <c r="Y49" s="3" t="s">
        <v>570</v>
      </c>
      <c r="Z49">
        <v>2002</v>
      </c>
      <c r="AD49" s="37">
        <f>'Data +prelim graphs'!BH173</f>
        <v>5.549774770204659</v>
      </c>
      <c r="AE49" s="37">
        <f>'Data +prelim graphs'!BH178</f>
        <v>2.5884358211089546</v>
      </c>
      <c r="AF49" s="37">
        <f>'Data +prelim graphs'!BH187</f>
        <v>184.37735218838543</v>
      </c>
      <c r="AG49" s="36">
        <f>'Data +prelim graphs'!BH177</f>
        <v>0.09623795278840705</v>
      </c>
    </row>
    <row r="50" spans="13:33" ht="12.75">
      <c r="M50" s="16">
        <f aca="true" t="shared" si="13" ref="M50:U50">STDEV(M43:M48)</f>
        <v>7.436396977031279</v>
      </c>
      <c r="N50" s="16">
        <f t="shared" si="13"/>
        <v>3.2863353450309982</v>
      </c>
      <c r="O50" s="16">
        <f t="shared" si="13"/>
        <v>2.4083189157584615</v>
      </c>
      <c r="P50" s="16"/>
      <c r="Q50" s="14">
        <f t="shared" si="13"/>
        <v>2675.6173358684614</v>
      </c>
      <c r="R50" s="16">
        <f t="shared" si="13"/>
        <v>141.33806281395005</v>
      </c>
      <c r="S50" s="15">
        <f t="shared" si="13"/>
        <v>0.0386430721499399</v>
      </c>
      <c r="T50" s="16">
        <f t="shared" si="13"/>
        <v>0.40959476224016056</v>
      </c>
      <c r="U50" s="16">
        <f t="shared" si="13"/>
        <v>6.722560002321429</v>
      </c>
      <c r="Z50">
        <v>2003</v>
      </c>
      <c r="AD50" s="37">
        <f>'Data +prelim graphs'!CJ173</f>
        <v>7.245688373094719</v>
      </c>
      <c r="AE50" s="37">
        <f>'Data +prelim graphs'!CJ178</f>
        <v>3.2093613071762443</v>
      </c>
      <c r="AF50" s="38">
        <f>'Data +prelim graphs'!CJ187</f>
        <v>136.28863488934067</v>
      </c>
      <c r="AG50" s="36">
        <f>'Data +prelim graphs'!CJ177</f>
        <v>0.06161248599109861</v>
      </c>
    </row>
    <row r="51" spans="13:33" ht="12.75">
      <c r="M51" s="16"/>
      <c r="N51" s="16"/>
      <c r="O51" s="16"/>
      <c r="P51" s="16"/>
      <c r="Q51" s="14"/>
      <c r="R51" s="16"/>
      <c r="S51" s="15"/>
      <c r="T51" s="16"/>
      <c r="U51" s="16"/>
      <c r="AD51" s="37"/>
      <c r="AE51" s="37"/>
      <c r="AF51" s="38"/>
      <c r="AG51" s="36"/>
    </row>
    <row r="52" spans="6:33" ht="12.75">
      <c r="F52" t="s">
        <v>292</v>
      </c>
      <c r="H52" t="s">
        <v>257</v>
      </c>
      <c r="I52">
        <v>2002</v>
      </c>
      <c r="J52">
        <v>5</v>
      </c>
      <c r="K52">
        <v>3</v>
      </c>
      <c r="L52" t="s">
        <v>322</v>
      </c>
      <c r="M52">
        <v>47</v>
      </c>
      <c r="N52">
        <v>19</v>
      </c>
      <c r="O52">
        <v>15</v>
      </c>
      <c r="Q52" s="5">
        <v>17434.4</v>
      </c>
      <c r="R52" s="5">
        <v>680.8</v>
      </c>
      <c r="S52" s="7">
        <v>0.12563667232597622</v>
      </c>
      <c r="T52" s="7">
        <v>3.8471986417657047</v>
      </c>
      <c r="U52" s="8">
        <v>29.20203735144312</v>
      </c>
      <c r="Z52">
        <v>2007</v>
      </c>
      <c r="AD52" s="6">
        <f>'Data +prelim graphs'!DN173</f>
        <v>3.577708763999657</v>
      </c>
      <c r="AE52" s="6">
        <f>'Data +prelim graphs'!DN178</f>
        <v>0.8944271909999222</v>
      </c>
      <c r="AF52" s="6">
        <f>'Data +prelim graphs'!DN187</f>
        <v>316.6877242121434</v>
      </c>
      <c r="AG52" s="6">
        <f>'Data +prelim graphs'!DN177</f>
        <v>0.14569469758170003</v>
      </c>
    </row>
    <row r="53" spans="6:33" ht="12.75">
      <c r="F53" t="s">
        <v>292</v>
      </c>
      <c r="H53" t="s">
        <v>258</v>
      </c>
      <c r="I53">
        <v>2002</v>
      </c>
      <c r="J53">
        <v>5</v>
      </c>
      <c r="K53">
        <v>3</v>
      </c>
      <c r="L53" t="s">
        <v>322</v>
      </c>
      <c r="M53">
        <v>44</v>
      </c>
      <c r="N53">
        <v>15</v>
      </c>
      <c r="O53">
        <v>18</v>
      </c>
      <c r="Q53" s="5">
        <v>14622.4</v>
      </c>
      <c r="R53" s="5">
        <v>355.2</v>
      </c>
      <c r="S53" s="7">
        <v>0.14979757085020243</v>
      </c>
      <c r="T53" s="7">
        <v>3.9433198380566803</v>
      </c>
      <c r="U53" s="8">
        <v>34.81781376518219</v>
      </c>
      <c r="Z53">
        <v>2008</v>
      </c>
      <c r="AD53" t="s">
        <v>551</v>
      </c>
      <c r="AE53" t="s">
        <v>551</v>
      </c>
      <c r="AF53" t="s">
        <v>551</v>
      </c>
      <c r="AG53" t="s">
        <v>551</v>
      </c>
    </row>
    <row r="54" spans="6:43" ht="12.75">
      <c r="F54" t="s">
        <v>292</v>
      </c>
      <c r="H54" t="s">
        <v>259</v>
      </c>
      <c r="I54">
        <v>2002</v>
      </c>
      <c r="J54">
        <v>5</v>
      </c>
      <c r="K54">
        <v>3</v>
      </c>
      <c r="L54" t="s">
        <v>322</v>
      </c>
      <c r="M54">
        <v>53</v>
      </c>
      <c r="N54">
        <v>19</v>
      </c>
      <c r="O54">
        <v>21</v>
      </c>
      <c r="Q54" s="5">
        <v>20927.2</v>
      </c>
      <c r="R54" s="5">
        <v>799.2</v>
      </c>
      <c r="S54" s="7">
        <v>0.17114568599717114</v>
      </c>
      <c r="T54" s="7">
        <v>3.1782178217821784</v>
      </c>
      <c r="U54" s="8">
        <v>18.67043847241867</v>
      </c>
      <c r="AQ54" s="9" t="s">
        <v>426</v>
      </c>
    </row>
    <row r="55" spans="6:21" ht="12.75">
      <c r="F55" t="s">
        <v>69</v>
      </c>
      <c r="H55" t="s">
        <v>260</v>
      </c>
      <c r="I55">
        <v>2002</v>
      </c>
      <c r="J55">
        <v>3</v>
      </c>
      <c r="K55">
        <v>2</v>
      </c>
      <c r="L55" t="s">
        <v>226</v>
      </c>
      <c r="M55">
        <v>37</v>
      </c>
      <c r="N55">
        <v>14</v>
      </c>
      <c r="O55">
        <v>13</v>
      </c>
      <c r="Q55" s="5">
        <v>15569.6</v>
      </c>
      <c r="R55" s="5">
        <v>266.4</v>
      </c>
      <c r="S55" s="7">
        <v>0.27566539923954375</v>
      </c>
      <c r="T55" s="7">
        <v>5.02851711026616</v>
      </c>
      <c r="U55" s="8">
        <v>38.78326996197718</v>
      </c>
    </row>
    <row r="56" spans="6:21" ht="12.75">
      <c r="F56" t="s">
        <v>306</v>
      </c>
      <c r="H56" t="s">
        <v>261</v>
      </c>
      <c r="I56">
        <v>2002</v>
      </c>
      <c r="J56">
        <v>6</v>
      </c>
      <c r="K56">
        <v>3</v>
      </c>
      <c r="L56" t="s">
        <v>323</v>
      </c>
      <c r="M56">
        <v>37</v>
      </c>
      <c r="N56">
        <v>14</v>
      </c>
      <c r="O56">
        <v>13</v>
      </c>
      <c r="Q56" s="5">
        <v>16576</v>
      </c>
      <c r="R56" s="5">
        <v>1243.2</v>
      </c>
      <c r="S56" s="7">
        <v>0.15357142857142858</v>
      </c>
      <c r="T56" s="7">
        <v>2.9964285714285714</v>
      </c>
      <c r="U56" s="8">
        <v>13.928571428571429</v>
      </c>
    </row>
    <row r="57" spans="9:21" ht="12.75">
      <c r="I57" s="12" t="s">
        <v>340</v>
      </c>
      <c r="M57" s="12">
        <f aca="true" t="shared" si="14" ref="M57:S57">AVERAGE(M52:M56)</f>
        <v>43.6</v>
      </c>
      <c r="N57" s="12">
        <f t="shared" si="14"/>
        <v>16.2</v>
      </c>
      <c r="O57" s="12">
        <f t="shared" si="14"/>
        <v>16</v>
      </c>
      <c r="P57" s="13"/>
      <c r="Q57" s="14">
        <f t="shared" si="14"/>
        <v>17025.920000000002</v>
      </c>
      <c r="R57" s="12">
        <f t="shared" si="14"/>
        <v>668.96</v>
      </c>
      <c r="S57" s="15">
        <f t="shared" si="14"/>
        <v>0.17516335139686443</v>
      </c>
      <c r="T57" s="13">
        <f>AVERAGE(T52:T56)</f>
        <v>3.7987363966598586</v>
      </c>
      <c r="U57" s="13">
        <f>AVERAGE(U52:U56)</f>
        <v>27.080426195918516</v>
      </c>
    </row>
    <row r="58" spans="13:21" ht="12.75">
      <c r="M58" s="16">
        <f aca="true" t="shared" si="15" ref="M58:U58">STDEV(M52:M56)</f>
        <v>6.841052550594841</v>
      </c>
      <c r="N58" s="16">
        <f t="shared" si="15"/>
        <v>2.5884358211089546</v>
      </c>
      <c r="O58" s="16">
        <f t="shared" si="15"/>
        <v>3.4641016151377544</v>
      </c>
      <c r="P58" s="16"/>
      <c r="Q58" s="14">
        <f t="shared" si="15"/>
        <v>2423.1717793008406</v>
      </c>
      <c r="R58" s="16">
        <f t="shared" si="15"/>
        <v>389.6646352955321</v>
      </c>
      <c r="S58" s="15">
        <f t="shared" si="15"/>
        <v>0.058479332138944295</v>
      </c>
      <c r="T58" s="16">
        <f t="shared" si="15"/>
        <v>0.8006801347105574</v>
      </c>
      <c r="U58" s="16">
        <f t="shared" si="15"/>
        <v>10.547797516968046</v>
      </c>
    </row>
    <row r="59" spans="6:21" ht="12.75">
      <c r="F59" t="s">
        <v>72</v>
      </c>
      <c r="H59" t="s">
        <v>262</v>
      </c>
      <c r="I59">
        <v>2002</v>
      </c>
      <c r="J59">
        <v>3</v>
      </c>
      <c r="K59">
        <v>2</v>
      </c>
      <c r="L59" t="s">
        <v>226</v>
      </c>
      <c r="M59" s="5">
        <v>38</v>
      </c>
      <c r="N59">
        <v>12</v>
      </c>
      <c r="O59" s="5">
        <v>16</v>
      </c>
      <c r="Q59" s="5">
        <v>38420.8</v>
      </c>
      <c r="R59" s="5">
        <v>414.4</v>
      </c>
      <c r="S59" s="7">
        <v>0.2465331278890601</v>
      </c>
      <c r="T59" s="7">
        <v>4.795069337442219</v>
      </c>
      <c r="U59" s="8">
        <v>41.75654853620955</v>
      </c>
    </row>
    <row r="60" spans="6:21" ht="12.75">
      <c r="F60" t="s">
        <v>72</v>
      </c>
      <c r="H60" t="s">
        <v>263</v>
      </c>
      <c r="I60">
        <v>2002</v>
      </c>
      <c r="J60">
        <v>3</v>
      </c>
      <c r="K60">
        <v>2</v>
      </c>
      <c r="L60" t="s">
        <v>226</v>
      </c>
      <c r="M60" s="5">
        <v>40</v>
      </c>
      <c r="N60">
        <v>13</v>
      </c>
      <c r="O60" s="5">
        <v>15</v>
      </c>
      <c r="Q60" s="5">
        <v>34336</v>
      </c>
      <c r="R60" s="5">
        <v>473.6</v>
      </c>
      <c r="S60" s="7">
        <v>0.1396551724137931</v>
      </c>
      <c r="T60" s="7">
        <v>4.0137931034482754</v>
      </c>
      <c r="U60" s="8">
        <v>28.620689655172416</v>
      </c>
    </row>
    <row r="61" spans="6:21" ht="12.75">
      <c r="F61" t="s">
        <v>292</v>
      </c>
      <c r="H61" t="s">
        <v>264</v>
      </c>
      <c r="I61">
        <v>2002</v>
      </c>
      <c r="J61">
        <v>5</v>
      </c>
      <c r="K61">
        <v>3</v>
      </c>
      <c r="L61" t="s">
        <v>322</v>
      </c>
      <c r="M61">
        <v>36</v>
      </c>
      <c r="N61">
        <v>17</v>
      </c>
      <c r="O61" s="5">
        <v>9</v>
      </c>
      <c r="Q61" s="5">
        <v>31849.6</v>
      </c>
      <c r="R61" s="5">
        <v>710.4</v>
      </c>
      <c r="S61" s="7">
        <v>0.362453531598513</v>
      </c>
      <c r="T61" s="7">
        <v>3.037174721189591</v>
      </c>
      <c r="U61" s="8">
        <v>5.018587360594796</v>
      </c>
    </row>
    <row r="62" spans="6:21" ht="12.75">
      <c r="F62" t="s">
        <v>309</v>
      </c>
      <c r="H62" t="s">
        <v>265</v>
      </c>
      <c r="I62">
        <v>2002</v>
      </c>
      <c r="J62">
        <v>3</v>
      </c>
      <c r="K62">
        <v>2</v>
      </c>
      <c r="L62" t="s">
        <v>226</v>
      </c>
      <c r="M62">
        <v>43</v>
      </c>
      <c r="N62">
        <v>15</v>
      </c>
      <c r="O62" s="5">
        <v>15</v>
      </c>
      <c r="Q62" s="5">
        <v>27705.6</v>
      </c>
      <c r="R62" s="5">
        <v>828.8</v>
      </c>
      <c r="S62" s="7">
        <v>0.15384615384615385</v>
      </c>
      <c r="T62" s="7">
        <v>3.5982905982905984</v>
      </c>
      <c r="U62" s="8">
        <v>21.794871794871796</v>
      </c>
    </row>
    <row r="63" spans="6:21" ht="12.75">
      <c r="F63" t="s">
        <v>314</v>
      </c>
      <c r="H63" t="s">
        <v>266</v>
      </c>
      <c r="I63">
        <v>2002</v>
      </c>
      <c r="J63">
        <v>6</v>
      </c>
      <c r="K63">
        <v>3</v>
      </c>
      <c r="L63" t="s">
        <v>323</v>
      </c>
      <c r="M63">
        <v>50</v>
      </c>
      <c r="N63">
        <v>18</v>
      </c>
      <c r="O63" s="5">
        <v>16</v>
      </c>
      <c r="Q63" s="5">
        <v>16457.6</v>
      </c>
      <c r="R63" s="5">
        <v>444</v>
      </c>
      <c r="S63" s="7">
        <v>0.14388489208633093</v>
      </c>
      <c r="T63" s="7">
        <v>3.7985611510791366</v>
      </c>
      <c r="U63" s="8">
        <v>17.26618705035971</v>
      </c>
    </row>
    <row r="64" spans="9:21" ht="12.75">
      <c r="I64" s="12" t="s">
        <v>336</v>
      </c>
      <c r="K64" s="6"/>
      <c r="M64" s="12">
        <f aca="true" t="shared" si="16" ref="M64:S64">AVERAGE(M59:M63)</f>
        <v>41.4</v>
      </c>
      <c r="N64" s="12">
        <f t="shared" si="16"/>
        <v>15</v>
      </c>
      <c r="O64" s="12">
        <f t="shared" si="16"/>
        <v>14.2</v>
      </c>
      <c r="P64" s="13"/>
      <c r="Q64" s="14">
        <f t="shared" si="16"/>
        <v>29753.920000000002</v>
      </c>
      <c r="R64" s="12">
        <f t="shared" si="16"/>
        <v>574.24</v>
      </c>
      <c r="S64" s="15">
        <f t="shared" si="16"/>
        <v>0.2092745755667702</v>
      </c>
      <c r="T64" s="13">
        <f>AVERAGE(T59:T63)</f>
        <v>3.8485777822899636</v>
      </c>
      <c r="U64" s="13">
        <f>AVERAGE(U59:U63)</f>
        <v>22.89137687944165</v>
      </c>
    </row>
    <row r="65" spans="11:21" ht="12.75">
      <c r="K65" s="6"/>
      <c r="M65" s="16">
        <f aca="true" t="shared" si="17" ref="M65:U65">STDEV(M59:M63)</f>
        <v>5.458937625582489</v>
      </c>
      <c r="N65" s="16">
        <f t="shared" si="17"/>
        <v>2.5495097567963922</v>
      </c>
      <c r="O65" s="16">
        <f t="shared" si="17"/>
        <v>2.949576240750523</v>
      </c>
      <c r="P65" s="16"/>
      <c r="Q65" s="14">
        <f t="shared" si="17"/>
        <v>8388.830089589375</v>
      </c>
      <c r="R65" s="16">
        <f t="shared" si="17"/>
        <v>184.37735218838574</v>
      </c>
      <c r="S65" s="15">
        <f t="shared" si="17"/>
        <v>0.09623795278840705</v>
      </c>
      <c r="T65" s="16">
        <f t="shared" si="17"/>
        <v>0.6416117657421577</v>
      </c>
      <c r="U65" s="16">
        <f t="shared" si="17"/>
        <v>13.610670590754959</v>
      </c>
    </row>
    <row r="66" spans="11:19" ht="12.75">
      <c r="K66" s="6"/>
      <c r="M66" s="16"/>
      <c r="N66" s="16"/>
      <c r="O66" s="16"/>
      <c r="P66" s="16"/>
      <c r="Q66" s="14"/>
      <c r="R66" s="16"/>
      <c r="S66" s="15"/>
    </row>
    <row r="67" spans="6:21" ht="12.75">
      <c r="F67" t="s">
        <v>374</v>
      </c>
      <c r="H67" t="s">
        <v>252</v>
      </c>
      <c r="I67">
        <v>2003</v>
      </c>
      <c r="J67">
        <v>6</v>
      </c>
      <c r="K67" s="5">
        <v>3</v>
      </c>
      <c r="M67" s="26">
        <v>44</v>
      </c>
      <c r="N67" s="26">
        <v>20</v>
      </c>
      <c r="O67" s="26">
        <v>11</v>
      </c>
      <c r="P67" s="16"/>
      <c r="Q67" s="26">
        <v>33092.8</v>
      </c>
      <c r="R67" s="26">
        <v>769.6</v>
      </c>
      <c r="S67" s="27">
        <v>0.24865831842576028</v>
      </c>
      <c r="T67" s="6">
        <v>3.2325581395348837</v>
      </c>
      <c r="U67" s="6">
        <v>20.214669051878353</v>
      </c>
    </row>
    <row r="68" spans="6:21" ht="12.75">
      <c r="F68" t="s">
        <v>374</v>
      </c>
      <c r="H68" t="s">
        <v>253</v>
      </c>
      <c r="I68">
        <v>2003</v>
      </c>
      <c r="J68">
        <v>6</v>
      </c>
      <c r="K68" s="5">
        <v>3</v>
      </c>
      <c r="M68" s="26">
        <v>36</v>
      </c>
      <c r="N68" s="26">
        <v>16</v>
      </c>
      <c r="O68" s="26">
        <v>8</v>
      </c>
      <c r="P68" s="16"/>
      <c r="Q68" s="26">
        <v>26580.8</v>
      </c>
      <c r="R68" s="26">
        <v>1716.8</v>
      </c>
      <c r="S68" s="27">
        <v>0.26948775055679286</v>
      </c>
      <c r="T68" s="6">
        <v>3.329621380846325</v>
      </c>
      <c r="U68" s="6">
        <v>18.040089086859687</v>
      </c>
    </row>
    <row r="69" spans="6:43" ht="12.75">
      <c r="F69" t="s">
        <v>374</v>
      </c>
      <c r="H69" t="s">
        <v>254</v>
      </c>
      <c r="I69">
        <v>2003</v>
      </c>
      <c r="J69">
        <v>6</v>
      </c>
      <c r="K69" s="5">
        <v>3</v>
      </c>
      <c r="M69" s="26">
        <v>45</v>
      </c>
      <c r="N69" s="26">
        <v>19</v>
      </c>
      <c r="O69" s="26">
        <v>12</v>
      </c>
      <c r="P69" s="16"/>
      <c r="Q69" s="26">
        <v>20660.8</v>
      </c>
      <c r="R69" s="26">
        <v>651.2</v>
      </c>
      <c r="S69" s="27">
        <v>0.22492836676217765</v>
      </c>
      <c r="T69" s="6">
        <v>3.495702005730659</v>
      </c>
      <c r="U69" s="6">
        <v>27.936962750716333</v>
      </c>
      <c r="AQ69" t="s">
        <v>425</v>
      </c>
    </row>
    <row r="70" spans="6:21" ht="12.75">
      <c r="F70" t="s">
        <v>378</v>
      </c>
      <c r="H70" t="s">
        <v>255</v>
      </c>
      <c r="I70">
        <v>2003</v>
      </c>
      <c r="J70">
        <v>6</v>
      </c>
      <c r="K70" s="5">
        <v>3</v>
      </c>
      <c r="M70" s="26">
        <v>40</v>
      </c>
      <c r="N70" s="26">
        <v>17</v>
      </c>
      <c r="O70" s="26">
        <v>10</v>
      </c>
      <c r="P70" s="16"/>
      <c r="Q70" s="26">
        <v>26462.4</v>
      </c>
      <c r="R70" s="26">
        <v>947.2</v>
      </c>
      <c r="S70" s="27">
        <v>0.19686800894854586</v>
      </c>
      <c r="T70" s="6">
        <v>3.2348993288590604</v>
      </c>
      <c r="U70" s="6">
        <v>16.33109619686801</v>
      </c>
    </row>
    <row r="71" spans="6:21" ht="12.75">
      <c r="F71" t="s">
        <v>374</v>
      </c>
      <c r="H71" t="s">
        <v>256</v>
      </c>
      <c r="I71">
        <v>2003</v>
      </c>
      <c r="J71">
        <v>6</v>
      </c>
      <c r="K71" s="5">
        <v>3</v>
      </c>
      <c r="M71" s="26">
        <v>35</v>
      </c>
      <c r="N71" s="26">
        <v>14</v>
      </c>
      <c r="O71" s="26">
        <v>11</v>
      </c>
      <c r="P71" s="16"/>
      <c r="Q71" s="26">
        <v>18648</v>
      </c>
      <c r="R71" s="26">
        <v>1006.4</v>
      </c>
      <c r="S71" s="27">
        <v>0.2507936507936508</v>
      </c>
      <c r="T71" s="6">
        <v>3.7587301587301587</v>
      </c>
      <c r="U71" s="6">
        <v>35.55555555555556</v>
      </c>
    </row>
    <row r="72" spans="9:21" ht="12.75">
      <c r="I72" s="12" t="s">
        <v>416</v>
      </c>
      <c r="K72" s="5"/>
      <c r="M72" s="12">
        <f>AVERAGE(M67:M71)</f>
        <v>40</v>
      </c>
      <c r="N72" s="12">
        <f>AVERAGE(N67:N71)</f>
        <v>17.2</v>
      </c>
      <c r="O72" s="12">
        <f>AVERAGE(O67:O71)</f>
        <v>10.4</v>
      </c>
      <c r="P72" s="16"/>
      <c r="Q72" s="14">
        <f>AVERAGE(Q67:Q71)</f>
        <v>25088.960000000003</v>
      </c>
      <c r="R72" s="14">
        <f>AVERAGE(R67:R71)</f>
        <v>1018.24</v>
      </c>
      <c r="S72" s="15">
        <f>AVERAGE(S67:S71)</f>
        <v>0.2381472190973855</v>
      </c>
      <c r="T72" s="13">
        <f>AVERAGE(T67:T71)</f>
        <v>3.4103022027402177</v>
      </c>
      <c r="U72" s="13">
        <f>AVERAGE(U67:U71)</f>
        <v>23.61567452837559</v>
      </c>
    </row>
    <row r="73" spans="11:21" ht="12.75">
      <c r="K73" s="5"/>
      <c r="M73" s="16">
        <f>STDEV(M67:M71)</f>
        <v>4.527692569068709</v>
      </c>
      <c r="N73" s="16">
        <f>STDEV(N67:N71)</f>
        <v>2.387467277262662</v>
      </c>
      <c r="O73" s="16">
        <f>STDEV(O67:O71)</f>
        <v>1.5165750888103138</v>
      </c>
      <c r="P73" s="16"/>
      <c r="Q73" s="14">
        <f>STDEV(Q67:Q71)</f>
        <v>5684.803107232457</v>
      </c>
      <c r="R73" s="14">
        <f>STDEV(R67:R71)</f>
        <v>415.24485306864426</v>
      </c>
      <c r="S73" s="15">
        <f>STDEV(S67:S71)</f>
        <v>0.02797925840452818</v>
      </c>
      <c r="T73" s="16">
        <f>STDEV(T67:T71)</f>
        <v>0.22224068150212578</v>
      </c>
      <c r="U73" s="16">
        <f>STDEV(U67:U71)</f>
        <v>8.014882462931553</v>
      </c>
    </row>
    <row r="74" spans="6:21" ht="12.75">
      <c r="F74" t="s">
        <v>382</v>
      </c>
      <c r="H74" t="s">
        <v>257</v>
      </c>
      <c r="I74">
        <v>2003</v>
      </c>
      <c r="J74">
        <v>5</v>
      </c>
      <c r="K74" s="5">
        <v>3</v>
      </c>
      <c r="M74" s="26">
        <v>54</v>
      </c>
      <c r="N74" s="26">
        <v>18</v>
      </c>
      <c r="O74" s="26">
        <v>19</v>
      </c>
      <c r="P74" s="16"/>
      <c r="Q74" s="26">
        <v>27054.4</v>
      </c>
      <c r="R74" s="26">
        <v>1332</v>
      </c>
      <c r="S74" s="27">
        <v>0.20678336980306344</v>
      </c>
      <c r="T74" s="6">
        <v>3.550328227571116</v>
      </c>
      <c r="U74" s="6">
        <v>21.2253829321663</v>
      </c>
    </row>
    <row r="75" spans="6:21" ht="12.75">
      <c r="F75" t="s">
        <v>382</v>
      </c>
      <c r="H75" t="s">
        <v>258</v>
      </c>
      <c r="I75">
        <v>2003</v>
      </c>
      <c r="J75">
        <v>5</v>
      </c>
      <c r="K75" s="5">
        <v>3</v>
      </c>
      <c r="M75" s="26">
        <v>43</v>
      </c>
      <c r="N75" s="26">
        <v>17</v>
      </c>
      <c r="O75" s="26">
        <v>12</v>
      </c>
      <c r="P75" s="16"/>
      <c r="Q75" s="26">
        <v>30428.8</v>
      </c>
      <c r="R75" s="26">
        <v>947.2</v>
      </c>
      <c r="S75" s="27">
        <v>0.25680933852140075</v>
      </c>
      <c r="T75" s="6">
        <v>3.8813229571984436</v>
      </c>
      <c r="U75" s="6">
        <v>21.78988326848249</v>
      </c>
    </row>
    <row r="76" spans="6:21" ht="12.75">
      <c r="F76" t="s">
        <v>382</v>
      </c>
      <c r="H76" t="s">
        <v>259</v>
      </c>
      <c r="I76">
        <v>2003</v>
      </c>
      <c r="J76">
        <v>5</v>
      </c>
      <c r="K76" s="5">
        <v>3</v>
      </c>
      <c r="M76" s="26">
        <v>48</v>
      </c>
      <c r="N76" s="26">
        <v>18</v>
      </c>
      <c r="O76" s="26">
        <v>15</v>
      </c>
      <c r="P76" s="16"/>
      <c r="Q76" s="26">
        <v>17197.6</v>
      </c>
      <c r="R76" s="26">
        <v>740</v>
      </c>
      <c r="S76" s="27">
        <v>0.25301204819277107</v>
      </c>
      <c r="T76" s="6">
        <v>3.5783132530120483</v>
      </c>
      <c r="U76" s="6">
        <v>22.719449225473323</v>
      </c>
    </row>
    <row r="77" spans="6:21" ht="12.75">
      <c r="F77" t="s">
        <v>389</v>
      </c>
      <c r="H77" t="s">
        <v>260</v>
      </c>
      <c r="I77">
        <v>2003</v>
      </c>
      <c r="J77">
        <v>4</v>
      </c>
      <c r="K77" s="5">
        <v>2</v>
      </c>
      <c r="M77" s="26">
        <v>49</v>
      </c>
      <c r="N77" s="26">
        <v>18</v>
      </c>
      <c r="O77" s="26">
        <v>15</v>
      </c>
      <c r="P77" s="16"/>
      <c r="Q77" s="26">
        <v>23620.8</v>
      </c>
      <c r="R77" s="26">
        <v>828.8</v>
      </c>
      <c r="S77" s="27">
        <v>0.16791979949874686</v>
      </c>
      <c r="T77" s="6">
        <v>3.5789473684210527</v>
      </c>
      <c r="U77" s="6">
        <v>25.81453634085213</v>
      </c>
    </row>
    <row r="78" spans="6:21" ht="12.75">
      <c r="F78" t="s">
        <v>374</v>
      </c>
      <c r="H78" t="s">
        <v>261</v>
      </c>
      <c r="I78">
        <v>2003</v>
      </c>
      <c r="J78">
        <v>6</v>
      </c>
      <c r="K78" s="5">
        <v>3</v>
      </c>
      <c r="M78" s="26">
        <v>46</v>
      </c>
      <c r="N78" s="26">
        <v>18</v>
      </c>
      <c r="O78" s="26">
        <v>14</v>
      </c>
      <c r="P78" s="16"/>
      <c r="Q78" s="26">
        <v>30902.4</v>
      </c>
      <c r="R78" s="26">
        <v>473.6</v>
      </c>
      <c r="S78" s="27">
        <v>0.2624521072796935</v>
      </c>
      <c r="T78" s="6">
        <v>3.442528735632184</v>
      </c>
      <c r="U78" s="6">
        <v>12.835249042145595</v>
      </c>
    </row>
    <row r="79" spans="9:21" ht="12.75">
      <c r="I79" s="12" t="s">
        <v>417</v>
      </c>
      <c r="K79" s="5"/>
      <c r="M79" s="12">
        <f>AVERAGE(M74:M78)</f>
        <v>48</v>
      </c>
      <c r="N79" s="12">
        <f>AVERAGE(N74:N78)</f>
        <v>17.8</v>
      </c>
      <c r="O79" s="12">
        <f>AVERAGE(O74:O78)</f>
        <v>15</v>
      </c>
      <c r="P79" s="16"/>
      <c r="Q79" s="14">
        <f>AVERAGE(Q74:Q78)</f>
        <v>25840.8</v>
      </c>
      <c r="R79" s="14">
        <f>AVERAGE(R74:R78)</f>
        <v>864.32</v>
      </c>
      <c r="S79" s="15">
        <f>AVERAGE(S74:S78)</f>
        <v>0.22939533265913514</v>
      </c>
      <c r="T79" s="13">
        <f>AVERAGE(T74:T78)</f>
        <v>3.6062881083669693</v>
      </c>
      <c r="U79" s="13">
        <f>AVERAGE(U74:U78)</f>
        <v>20.87690016182397</v>
      </c>
    </row>
    <row r="80" spans="11:21" ht="12.75">
      <c r="K80" s="5"/>
      <c r="M80" s="16">
        <f>STDEV(M74:M78)</f>
        <v>4.06201920231798</v>
      </c>
      <c r="N80" s="16">
        <f>STDEV(N74:N78)</f>
        <v>0.4472135954999452</v>
      </c>
      <c r="O80" s="16">
        <f>STDEV(O74:O78)</f>
        <v>2.5495097567963922</v>
      </c>
      <c r="P80" s="16"/>
      <c r="Q80" s="14">
        <f>STDEV(Q74:Q78)</f>
        <v>5651.895030872404</v>
      </c>
      <c r="R80" s="14">
        <f>STDEV(R74:R78)</f>
        <v>314.234358401496</v>
      </c>
      <c r="S80" s="15">
        <f>STDEV(S74:S78)</f>
        <v>0.04090406263406414</v>
      </c>
      <c r="T80" s="16">
        <f>STDEV(T74:T78)</f>
        <v>0.1636481874951753</v>
      </c>
      <c r="U80" s="16">
        <f>STDEV(U74:U78)</f>
        <v>4.832141585604061</v>
      </c>
    </row>
    <row r="81" spans="6:21" ht="12.75">
      <c r="F81" t="s">
        <v>382</v>
      </c>
      <c r="H81" t="s">
        <v>262</v>
      </c>
      <c r="I81">
        <v>2003</v>
      </c>
      <c r="J81">
        <v>5</v>
      </c>
      <c r="K81" s="5">
        <v>3</v>
      </c>
      <c r="M81" s="26">
        <v>44</v>
      </c>
      <c r="N81" s="26">
        <v>17</v>
      </c>
      <c r="O81" s="26">
        <v>13</v>
      </c>
      <c r="P81" s="16"/>
      <c r="Q81" s="26">
        <v>42683.2</v>
      </c>
      <c r="R81" s="26">
        <v>503.2</v>
      </c>
      <c r="S81" s="27">
        <v>0.28224687933425796</v>
      </c>
      <c r="T81" s="6">
        <v>4.394590846047157</v>
      </c>
      <c r="U81" s="6">
        <v>54.85436893203884</v>
      </c>
    </row>
    <row r="82" spans="6:21" ht="12.75">
      <c r="F82" t="s">
        <v>389</v>
      </c>
      <c r="H82" t="s">
        <v>263</v>
      </c>
      <c r="I82">
        <v>2003</v>
      </c>
      <c r="J82">
        <v>3</v>
      </c>
      <c r="K82" s="5">
        <v>2</v>
      </c>
      <c r="M82" s="26">
        <v>33</v>
      </c>
      <c r="N82" s="26">
        <v>12</v>
      </c>
      <c r="O82" s="26">
        <v>10</v>
      </c>
      <c r="P82" s="16"/>
      <c r="Q82" s="26">
        <v>44755.2</v>
      </c>
      <c r="R82" s="26">
        <v>592</v>
      </c>
      <c r="S82" s="27">
        <v>0.32275132275132273</v>
      </c>
      <c r="T82" s="6">
        <v>4.58994708994709</v>
      </c>
      <c r="U82" s="6">
        <v>58.46560846560847</v>
      </c>
    </row>
    <row r="83" spans="6:21" ht="12.75">
      <c r="F83" t="s">
        <v>389</v>
      </c>
      <c r="H83" t="s">
        <v>264</v>
      </c>
      <c r="I83">
        <v>2003</v>
      </c>
      <c r="J83">
        <v>3</v>
      </c>
      <c r="K83" s="5">
        <v>2</v>
      </c>
      <c r="M83" s="26">
        <v>32</v>
      </c>
      <c r="N83" s="26">
        <v>12</v>
      </c>
      <c r="O83" s="26">
        <v>9</v>
      </c>
      <c r="P83" s="16"/>
      <c r="Q83" s="26">
        <v>67724.8</v>
      </c>
      <c r="R83" s="26">
        <v>592</v>
      </c>
      <c r="S83" s="27">
        <v>0.35664335664335667</v>
      </c>
      <c r="T83" s="6">
        <v>4.818181818181818</v>
      </c>
      <c r="U83" s="6">
        <v>61.36363636363637</v>
      </c>
    </row>
    <row r="84" spans="6:21" ht="12.75">
      <c r="F84" t="s">
        <v>389</v>
      </c>
      <c r="H84" t="s">
        <v>265</v>
      </c>
      <c r="I84">
        <v>2003</v>
      </c>
      <c r="J84">
        <v>3</v>
      </c>
      <c r="K84" s="5">
        <v>2</v>
      </c>
      <c r="M84" s="26">
        <v>25</v>
      </c>
      <c r="N84" s="26">
        <v>8</v>
      </c>
      <c r="O84" s="26">
        <v>7</v>
      </c>
      <c r="P84" s="16"/>
      <c r="Q84" s="26">
        <v>9649.6</v>
      </c>
      <c r="R84" s="26">
        <v>88.8</v>
      </c>
      <c r="S84" s="27">
        <v>0.19938650306748465</v>
      </c>
      <c r="T84" s="6">
        <v>3.9754601226993866</v>
      </c>
      <c r="U84" s="6">
        <v>54.9079754601227</v>
      </c>
    </row>
    <row r="85" spans="6:21" ht="12.75">
      <c r="F85" t="s">
        <v>398</v>
      </c>
      <c r="H85" t="s">
        <v>266</v>
      </c>
      <c r="I85">
        <v>2003</v>
      </c>
      <c r="J85">
        <v>6</v>
      </c>
      <c r="K85" s="5">
        <v>3</v>
      </c>
      <c r="M85" s="26">
        <v>41</v>
      </c>
      <c r="N85" s="26">
        <v>12</v>
      </c>
      <c r="O85" s="26">
        <v>15</v>
      </c>
      <c r="P85" s="16"/>
      <c r="Q85" s="26">
        <v>9412.8</v>
      </c>
      <c r="R85" s="26">
        <v>266.4</v>
      </c>
      <c r="S85" s="27">
        <v>0.24842767295597484</v>
      </c>
      <c r="T85" s="6">
        <v>4.79874213836478</v>
      </c>
      <c r="U85" s="6">
        <v>59.119496855345915</v>
      </c>
    </row>
    <row r="86" spans="9:21" ht="12.75">
      <c r="I86" s="12" t="s">
        <v>418</v>
      </c>
      <c r="K86" s="6"/>
      <c r="M86" s="12">
        <f>AVERAGE(M81:M85)</f>
        <v>35</v>
      </c>
      <c r="N86" s="12">
        <f>AVERAGE(N81:N85)</f>
        <v>12.2</v>
      </c>
      <c r="O86" s="12">
        <f>AVERAGE(O81:O85)</f>
        <v>10.8</v>
      </c>
      <c r="P86" s="16"/>
      <c r="Q86" s="14">
        <f>AVERAGE(Q81:Q85)</f>
        <v>34845.12</v>
      </c>
      <c r="R86" s="14">
        <f>AVERAGE(R81:R85)</f>
        <v>408.48</v>
      </c>
      <c r="S86" s="15">
        <f>AVERAGE(S81:S85)</f>
        <v>0.28189114695047934</v>
      </c>
      <c r="T86" s="13">
        <f>AVERAGE(T81:T85)</f>
        <v>4.515384403048047</v>
      </c>
      <c r="U86" s="13">
        <f>AVERAGE(U81:U85)</f>
        <v>57.74221721535046</v>
      </c>
    </row>
    <row r="87" spans="11:21" ht="12.75">
      <c r="K87" s="6"/>
      <c r="M87" s="16">
        <f>STDEV(M81:M85)</f>
        <v>7.582875444051551</v>
      </c>
      <c r="N87" s="16">
        <f>STDEV(N81:N85)</f>
        <v>3.1937438845342605</v>
      </c>
      <c r="O87" s="16">
        <f>STDEV(O81:O85)</f>
        <v>3.1937438845342605</v>
      </c>
      <c r="P87" s="16"/>
      <c r="Q87" s="14">
        <f>STDEV(Q81:Q85)</f>
        <v>25111.430013282792</v>
      </c>
      <c r="R87" s="14">
        <f>STDEV(R81:R85)</f>
        <v>222.88623106867766</v>
      </c>
      <c r="S87" s="15">
        <f>STDEV(S81:S85)</f>
        <v>0.06161248599109861</v>
      </c>
      <c r="T87" s="16">
        <f>STDEV(T81:T85)</f>
        <v>0.34772359244666834</v>
      </c>
      <c r="U87" s="16">
        <f>STDEV(U81:U85)</f>
        <v>2.824334646857942</v>
      </c>
    </row>
    <row r="88" spans="11:19" ht="12.75">
      <c r="K88" s="6"/>
      <c r="M88" s="16"/>
      <c r="N88" s="16"/>
      <c r="O88" s="16"/>
      <c r="P88" s="16"/>
      <c r="Q88" s="14"/>
      <c r="R88" s="16"/>
      <c r="S88" s="15"/>
    </row>
    <row r="90" spans="7:14" ht="12.75">
      <c r="G90" t="s">
        <v>227</v>
      </c>
      <c r="K90" t="s">
        <v>231</v>
      </c>
      <c r="L90" s="4" t="s">
        <v>236</v>
      </c>
      <c r="M90" s="9" t="s">
        <v>232</v>
      </c>
      <c r="N90" s="9" t="s">
        <v>233</v>
      </c>
    </row>
    <row r="91" spans="9:14" ht="12.75">
      <c r="I91" t="s">
        <v>228</v>
      </c>
      <c r="K91" s="8">
        <f>AVERAGE(M4,M20:M24,M32:M34)</f>
        <v>31.571428571428573</v>
      </c>
      <c r="L91" s="8">
        <f>AVERAGE(M14:M15)</f>
        <v>25</v>
      </c>
      <c r="M91" s="8">
        <f>AVERAGE(M3,M7,M11,M13,M16,M25,M29)</f>
        <v>29.857142857142858</v>
      </c>
      <c r="N91" s="8">
        <f>AVERAGE(M5,'Data +prelim graphs'!A216,M30,M31)</f>
        <v>40</v>
      </c>
    </row>
    <row r="92" spans="9:14" ht="12.75">
      <c r="I92" t="s">
        <v>230</v>
      </c>
      <c r="K92" s="8">
        <f>STDEV(M4,M20:M24,M32:M34)</f>
        <v>8.303757038376116</v>
      </c>
      <c r="L92" s="8">
        <f>STDEV(M14:M15)</f>
        <v>2.8284271247461903</v>
      </c>
      <c r="M92" s="8">
        <f>STDEV(M3,M7,M11,M13,M16,M25,M29)</f>
        <v>7.776643908280134</v>
      </c>
      <c r="N92" s="8">
        <f>STDEV(M5,M6,M30,M31)</f>
        <v>3.696845502136472</v>
      </c>
    </row>
    <row r="93" spans="9:14" ht="12.75">
      <c r="I93" t="s">
        <v>229</v>
      </c>
      <c r="K93" s="8">
        <f>AVERAGE(N4,N20:N24,N32:N34)</f>
        <v>10.571428571428571</v>
      </c>
      <c r="L93" s="8">
        <f>AVERAGE(N14:N15)</f>
        <v>12</v>
      </c>
      <c r="M93" s="8">
        <f>AVERAGE(N3,N7,N11,N13,N16,N25,N29)</f>
        <v>14.142857142857142</v>
      </c>
      <c r="N93" s="8">
        <f>AVERAGE(N5,N6,N30,N31)</f>
        <v>18.5</v>
      </c>
    </row>
    <row r="94" spans="9:14" ht="12.75">
      <c r="I94" t="s">
        <v>230</v>
      </c>
      <c r="K94" s="8">
        <f>STDEV(N4,N20:N24,N32:N34)</f>
        <v>2.5071326821120334</v>
      </c>
      <c r="L94" s="8">
        <f>STDEV(N14:N15)</f>
        <v>1.4142135623730951</v>
      </c>
      <c r="M94" s="8">
        <f>STDEV(N3,N7,N11,N13,N16,N25,N29)</f>
        <v>3.0783421635988555</v>
      </c>
      <c r="N94" s="8">
        <f>STDEV(N5,N6,N30,N31)</f>
        <v>1</v>
      </c>
    </row>
    <row r="95" spans="9:14" ht="12.75">
      <c r="I95" t="s">
        <v>235</v>
      </c>
      <c r="K95" s="8">
        <f>AVERAGE(O$4,O$20:O$24,O$32,O$34)</f>
        <v>10.571428571428571</v>
      </c>
      <c r="L95" s="8">
        <f>AVERAGE(O$14,O$15)</f>
        <v>7</v>
      </c>
      <c r="M95" s="8">
        <f>AVERAGE(O$3,O$7,O$11,O$13,O$16,O$25,O$29)</f>
        <v>8.142857142857142</v>
      </c>
      <c r="N95">
        <f>AVERAGE(O$5,O$6,O$30,O$31)</f>
        <v>8.75</v>
      </c>
    </row>
    <row r="96" spans="9:14" ht="12.75">
      <c r="I96" t="s">
        <v>230</v>
      </c>
      <c r="K96" s="8">
        <f>STDEV(O$4,O$20:O$24,O$32,O$34)</f>
        <v>3.952094080237414</v>
      </c>
      <c r="L96" s="8">
        <f>STDEV(O$14,O$15)</f>
        <v>0</v>
      </c>
      <c r="M96" s="8">
        <f>STDEV(O$3,O$7,O$11,O$13,O$16,O$25,O$29)</f>
        <v>2.9680841985233175</v>
      </c>
      <c r="N96" s="8">
        <f>STDEV(O$5,O$6,O$30,O$31)</f>
        <v>1.2583057392117916</v>
      </c>
    </row>
    <row r="97" spans="9:14" ht="12.75">
      <c r="I97" t="s">
        <v>240</v>
      </c>
      <c r="K97" s="8">
        <f>AVERAGE(P$4,P$20:P$24,P$32,P$34)</f>
        <v>1.9150369115033548</v>
      </c>
      <c r="L97" s="8">
        <f>AVERAGE(P$14,P$15)</f>
        <v>0.9644369226911922</v>
      </c>
      <c r="M97" s="8">
        <f>AVERAGE(P$3,P$7,P$11,P$13,P$16,P$25,P$29)</f>
        <v>2.5445716692736506</v>
      </c>
      <c r="N97" s="8">
        <f>AVERAGE(P$5,P$6,P$30,P$31)</f>
        <v>5.985024478906244</v>
      </c>
    </row>
    <row r="98" spans="9:14" ht="12.75">
      <c r="I98" t="s">
        <v>230</v>
      </c>
      <c r="K98" s="8">
        <f>STDEV(P$4,P$20:P$24,P$32,P$34)</f>
        <v>1.230896419401163</v>
      </c>
      <c r="L98" s="8">
        <f>STDEV(P$14,P$15)</f>
        <v>0.5145422611844604</v>
      </c>
      <c r="M98" s="8">
        <f>STDEV(P$3,P$7,P$11,P$13,P$16,P$25,P$29)</f>
        <v>1.1349924281840267</v>
      </c>
      <c r="N98" s="8">
        <f>STDEV(P$5,P$6,P$30,P$31)</f>
        <v>4.421585528822211</v>
      </c>
    </row>
    <row r="118" ht="12.75">
      <c r="G118" s="18"/>
    </row>
    <row r="120" spans="13:18" ht="12.75">
      <c r="M120" t="s">
        <v>223</v>
      </c>
      <c r="N120" t="s">
        <v>222</v>
      </c>
      <c r="O120" t="s">
        <v>341</v>
      </c>
      <c r="P120" t="s">
        <v>238</v>
      </c>
      <c r="R120" t="s">
        <v>241</v>
      </c>
    </row>
    <row r="121" spans="13:18" ht="14.25">
      <c r="M121" t="s">
        <v>221</v>
      </c>
      <c r="N121" t="s">
        <v>221</v>
      </c>
      <c r="O121" t="s">
        <v>329</v>
      </c>
      <c r="P121" t="s">
        <v>244</v>
      </c>
      <c r="R121" t="s">
        <v>329</v>
      </c>
    </row>
    <row r="122" spans="8:18" ht="12.75">
      <c r="H122" s="3" t="s">
        <v>354</v>
      </c>
      <c r="I122" t="s">
        <v>350</v>
      </c>
      <c r="J122" t="s">
        <v>345</v>
      </c>
      <c r="M122" s="19">
        <v>31.6</v>
      </c>
      <c r="N122" s="19">
        <v>13</v>
      </c>
      <c r="O122" s="20">
        <v>203.87</v>
      </c>
      <c r="P122" s="21">
        <f>100*0.434031603739578</f>
        <v>43.4031603739578</v>
      </c>
      <c r="R122">
        <v>203.87</v>
      </c>
    </row>
    <row r="123" spans="9:18" ht="12.75">
      <c r="I123" t="s">
        <v>351</v>
      </c>
      <c r="J123" t="s">
        <v>348</v>
      </c>
      <c r="M123" s="19">
        <v>39.6</v>
      </c>
      <c r="N123" s="19">
        <v>17.6</v>
      </c>
      <c r="O123" s="20">
        <v>811.04</v>
      </c>
      <c r="P123" s="21">
        <f>100*0.212654745056687</f>
        <v>21.2654745056687</v>
      </c>
      <c r="R123">
        <v>125.99874823011356</v>
      </c>
    </row>
    <row r="124" spans="9:18" ht="12.75">
      <c r="I124">
        <v>2003</v>
      </c>
      <c r="R124">
        <v>417.36</v>
      </c>
    </row>
    <row r="125" spans="8:18" ht="12.75">
      <c r="H125" s="3" t="s">
        <v>355</v>
      </c>
      <c r="I125" t="s">
        <v>350</v>
      </c>
      <c r="J125" t="s">
        <v>346</v>
      </c>
      <c r="M125" s="19">
        <v>31.8</v>
      </c>
      <c r="N125" s="19">
        <v>14.1</v>
      </c>
      <c r="O125" s="20">
        <v>417.36</v>
      </c>
      <c r="P125" s="21">
        <f>100*0.308771913166936</f>
        <v>30.877191316693597</v>
      </c>
      <c r="R125">
        <v>324.98649271076556</v>
      </c>
    </row>
    <row r="126" spans="9:18" ht="12.75">
      <c r="I126" t="s">
        <v>352</v>
      </c>
      <c r="J126" t="s">
        <v>347</v>
      </c>
      <c r="M126" s="19">
        <v>43.6</v>
      </c>
      <c r="N126" s="19">
        <v>16.2</v>
      </c>
      <c r="O126" s="20">
        <v>668.96</v>
      </c>
      <c r="P126" s="21">
        <f>100*0.175163351396864</f>
        <v>17.5163351396864</v>
      </c>
      <c r="R126">
        <v>811.04</v>
      </c>
    </row>
    <row r="127" spans="9:18" ht="12.75">
      <c r="I127">
        <v>2003</v>
      </c>
      <c r="R127">
        <v>141.33806281395005</v>
      </c>
    </row>
    <row r="128" spans="8:18" ht="12.75">
      <c r="H128" s="3" t="s">
        <v>356</v>
      </c>
      <c r="I128" t="s">
        <v>353</v>
      </c>
      <c r="J128" t="s">
        <v>349</v>
      </c>
      <c r="M128" s="19">
        <v>41.4</v>
      </c>
      <c r="N128" s="19">
        <v>15</v>
      </c>
      <c r="O128" s="20">
        <v>574.24</v>
      </c>
      <c r="P128" s="21">
        <f>100*0.20927457556677</f>
        <v>20.927457556677002</v>
      </c>
      <c r="R128">
        <v>668.96</v>
      </c>
    </row>
    <row r="129" ht="12.75">
      <c r="R129">
        <v>389.6646352955321</v>
      </c>
    </row>
    <row r="130" ht="12.75">
      <c r="R130">
        <v>574.24</v>
      </c>
    </row>
    <row r="131" spans="12:18" ht="12.75">
      <c r="L131" t="s">
        <v>342</v>
      </c>
      <c r="M131" s="8">
        <v>7.791733511299721</v>
      </c>
      <c r="N131" s="8">
        <v>3.711842908553348</v>
      </c>
      <c r="O131" s="5">
        <v>125.99874823011356</v>
      </c>
      <c r="P131" s="7">
        <f>100*0.202576561366385</f>
        <v>20.2576561366385</v>
      </c>
      <c r="R131">
        <v>184.37735218838574</v>
      </c>
    </row>
    <row r="132" spans="12:16" ht="12.75">
      <c r="L132" t="s">
        <v>343</v>
      </c>
      <c r="M132" s="8">
        <v>7.436396977031279</v>
      </c>
      <c r="N132" s="8">
        <v>3.2863353450309982</v>
      </c>
      <c r="O132" s="5">
        <v>141.33806281395005</v>
      </c>
      <c r="P132" s="7">
        <f>100*0.0386430721499399</f>
        <v>3.8643072149939903</v>
      </c>
    </row>
    <row r="134" spans="13:16" ht="12.75">
      <c r="M134" s="8">
        <v>8.011103405759897</v>
      </c>
      <c r="N134" s="8">
        <v>3.9001424475410023</v>
      </c>
      <c r="O134" s="5">
        <v>324.98649271076556</v>
      </c>
      <c r="P134" s="7">
        <f>100*0.107427544749527</f>
        <v>10.742754474952699</v>
      </c>
    </row>
    <row r="135" spans="13:16" ht="12.75">
      <c r="M135" s="8">
        <v>6.841052550594841</v>
      </c>
      <c r="N135" s="8">
        <v>2.5884358211089546</v>
      </c>
      <c r="O135" s="5">
        <v>389.6646352955321</v>
      </c>
      <c r="P135" s="7">
        <f>100*0.0584793321389443</f>
        <v>5.84793321389443</v>
      </c>
    </row>
    <row r="137" spans="13:16" ht="12.75">
      <c r="M137" s="8">
        <v>5.458937625582489</v>
      </c>
      <c r="N137" s="8">
        <v>2.5495097567963922</v>
      </c>
      <c r="O137" s="5">
        <v>184.37735218838574</v>
      </c>
      <c r="P137" s="7">
        <f>100*0.096237952788407</f>
        <v>9.6237952788407</v>
      </c>
    </row>
    <row r="140" spans="9:15" ht="12.75">
      <c r="I140" t="s">
        <v>344</v>
      </c>
      <c r="J140">
        <v>2002</v>
      </c>
      <c r="L140" t="s">
        <v>344</v>
      </c>
      <c r="M140">
        <v>2002</v>
      </c>
      <c r="O140">
        <v>2002</v>
      </c>
    </row>
    <row r="141" spans="9:15" ht="12.75">
      <c r="I141" t="s">
        <v>345</v>
      </c>
      <c r="J141" t="s">
        <v>348</v>
      </c>
      <c r="L141" t="s">
        <v>346</v>
      </c>
      <c r="M141" t="s">
        <v>347</v>
      </c>
      <c r="O141" t="s">
        <v>349</v>
      </c>
    </row>
    <row r="143" spans="9:15" ht="12.75">
      <c r="I143" s="19">
        <v>31.6</v>
      </c>
      <c r="J143" s="19">
        <v>39.6</v>
      </c>
      <c r="L143" s="19">
        <v>31.8</v>
      </c>
      <c r="M143" s="19">
        <v>43.6</v>
      </c>
      <c r="O143" s="19">
        <v>41.4</v>
      </c>
    </row>
    <row r="144" spans="9:15" ht="12.75">
      <c r="I144" s="19">
        <v>13</v>
      </c>
      <c r="J144" s="19">
        <v>17.6</v>
      </c>
      <c r="L144" s="19">
        <v>14.1</v>
      </c>
      <c r="M144" s="19">
        <v>16.2</v>
      </c>
      <c r="O144" s="19">
        <v>15</v>
      </c>
    </row>
    <row r="145" spans="9:15" ht="12.75">
      <c r="I145" s="20">
        <v>203.87</v>
      </c>
      <c r="J145" s="20">
        <v>811.04</v>
      </c>
      <c r="L145" s="20">
        <v>417.36</v>
      </c>
      <c r="M145" s="20">
        <v>668.96</v>
      </c>
      <c r="O145" s="20">
        <v>574.24</v>
      </c>
    </row>
    <row r="146" spans="9:15" ht="12.75">
      <c r="I146" s="21">
        <v>0.4340316037395776</v>
      </c>
      <c r="J146" s="21">
        <v>0.21265474505668677</v>
      </c>
      <c r="L146" s="21">
        <v>0.3087719131669361</v>
      </c>
      <c r="M146" s="21">
        <v>0.17516335139686443</v>
      </c>
      <c r="O146" s="21">
        <v>0.2092745755667702</v>
      </c>
    </row>
    <row r="149" ht="12.75">
      <c r="A149" t="s">
        <v>419</v>
      </c>
    </row>
    <row r="150" spans="2:6" ht="14.25">
      <c r="B150" t="s">
        <v>359</v>
      </c>
      <c r="C150" t="s">
        <v>360</v>
      </c>
      <c r="D150" t="s">
        <v>364</v>
      </c>
      <c r="E150" t="s">
        <v>365</v>
      </c>
      <c r="F150" t="s">
        <v>244</v>
      </c>
    </row>
    <row r="151" spans="1:6" ht="12.75">
      <c r="A151" t="s">
        <v>362</v>
      </c>
      <c r="B151">
        <v>1</v>
      </c>
      <c r="C151">
        <v>7</v>
      </c>
      <c r="D151">
        <v>3.7</v>
      </c>
      <c r="E151">
        <v>15</v>
      </c>
      <c r="F151" s="7">
        <v>0.8689655172413793</v>
      </c>
    </row>
    <row r="152" spans="1:6" ht="12.75">
      <c r="A152" t="s">
        <v>362</v>
      </c>
      <c r="B152">
        <v>1</v>
      </c>
      <c r="C152">
        <v>11</v>
      </c>
      <c r="D152">
        <v>236.8</v>
      </c>
      <c r="E152">
        <v>23</v>
      </c>
      <c r="F152" s="7">
        <v>0.33396584440227706</v>
      </c>
    </row>
    <row r="153" spans="1:6" ht="12.75">
      <c r="A153" t="s">
        <v>362</v>
      </c>
      <c r="B153">
        <v>1</v>
      </c>
      <c r="C153">
        <v>13</v>
      </c>
      <c r="D153">
        <v>118.4</v>
      </c>
      <c r="E153">
        <v>27</v>
      </c>
      <c r="F153" s="7">
        <v>0.2132132132132132</v>
      </c>
    </row>
    <row r="154" spans="1:6" ht="12.75">
      <c r="A154" t="s">
        <v>362</v>
      </c>
      <c r="B154">
        <v>1</v>
      </c>
      <c r="C154">
        <v>10</v>
      </c>
      <c r="D154">
        <v>414.4</v>
      </c>
      <c r="E154">
        <v>32</v>
      </c>
      <c r="F154" s="7">
        <v>0.25170068027210885</v>
      </c>
    </row>
    <row r="155" spans="1:6" ht="12.75">
      <c r="A155" t="s">
        <v>362</v>
      </c>
      <c r="B155">
        <v>1</v>
      </c>
      <c r="C155">
        <v>9</v>
      </c>
      <c r="D155">
        <v>207.2</v>
      </c>
      <c r="E155">
        <v>34</v>
      </c>
      <c r="F155" s="7">
        <v>0.36379928315412186</v>
      </c>
    </row>
    <row r="156" spans="1:6" ht="12.75">
      <c r="A156" t="s">
        <v>362</v>
      </c>
      <c r="B156">
        <v>1</v>
      </c>
      <c r="C156">
        <v>12</v>
      </c>
      <c r="D156">
        <v>296</v>
      </c>
      <c r="E156">
        <v>32</v>
      </c>
      <c r="F156" s="7">
        <v>0.26181353767560667</v>
      </c>
    </row>
    <row r="157" spans="1:6" ht="12.75">
      <c r="A157" t="s">
        <v>362</v>
      </c>
      <c r="B157">
        <v>1</v>
      </c>
      <c r="C157">
        <v>14</v>
      </c>
      <c r="D157">
        <v>133.2</v>
      </c>
      <c r="E157">
        <v>43</v>
      </c>
      <c r="F157" s="7">
        <v>0.3045507584597433</v>
      </c>
    </row>
    <row r="158" spans="1:6" ht="12.75">
      <c r="A158" t="s">
        <v>362</v>
      </c>
      <c r="B158">
        <v>1</v>
      </c>
      <c r="C158">
        <v>9</v>
      </c>
      <c r="D158">
        <v>207.2</v>
      </c>
      <c r="E158">
        <v>33</v>
      </c>
      <c r="F158" s="7">
        <v>0.3531409168081494</v>
      </c>
    </row>
    <row r="159" spans="1:6" ht="12.75">
      <c r="A159" t="s">
        <v>362</v>
      </c>
      <c r="B159">
        <v>1</v>
      </c>
      <c r="C159">
        <v>13</v>
      </c>
      <c r="D159">
        <v>236.8</v>
      </c>
      <c r="E159">
        <v>32</v>
      </c>
      <c r="F159" s="7">
        <v>0.25271739130434784</v>
      </c>
    </row>
    <row r="160" spans="2:6" ht="12.75">
      <c r="B160" s="31">
        <v>1</v>
      </c>
      <c r="C160" s="28">
        <f>AVERAGE(C151:C159)</f>
        <v>10.88888888888889</v>
      </c>
      <c r="D160" s="28">
        <f>AVERAGE(D151:D159)</f>
        <v>205.96666666666667</v>
      </c>
      <c r="E160" s="28">
        <f>AVERAGE(E151:E159)</f>
        <v>30.11111111111111</v>
      </c>
      <c r="F160" s="29">
        <f>AVERAGE(F151:F159)</f>
        <v>0.3559852380589942</v>
      </c>
    </row>
    <row r="161" spans="1:6" ht="12.75">
      <c r="A161" t="s">
        <v>361</v>
      </c>
      <c r="B161">
        <v>2</v>
      </c>
      <c r="C161">
        <v>15</v>
      </c>
      <c r="D161">
        <v>96.2</v>
      </c>
      <c r="E161">
        <v>28</v>
      </c>
      <c r="F161" s="7">
        <v>0.48264984227129337</v>
      </c>
    </row>
    <row r="162" spans="1:6" ht="12.75">
      <c r="A162" t="s">
        <v>361</v>
      </c>
      <c r="B162">
        <v>2</v>
      </c>
      <c r="C162">
        <v>19</v>
      </c>
      <c r="D162">
        <v>125.8</v>
      </c>
      <c r="E162">
        <v>37</v>
      </c>
      <c r="F162" s="7">
        <v>0.5677852348993289</v>
      </c>
    </row>
    <row r="163" spans="1:6" ht="12.75">
      <c r="A163" t="s">
        <v>361</v>
      </c>
      <c r="B163">
        <v>2</v>
      </c>
      <c r="C163">
        <v>17</v>
      </c>
      <c r="D163">
        <v>140.6</v>
      </c>
      <c r="E163">
        <v>34</v>
      </c>
      <c r="F163" s="7">
        <v>0.632514817950889</v>
      </c>
    </row>
    <row r="164" spans="1:6" ht="12.75">
      <c r="A164" t="s">
        <v>361</v>
      </c>
      <c r="B164">
        <v>2</v>
      </c>
      <c r="C164">
        <v>12</v>
      </c>
      <c r="D164">
        <v>325.6</v>
      </c>
      <c r="E164">
        <v>24</v>
      </c>
      <c r="F164" s="7">
        <v>0.3325842696629214</v>
      </c>
    </row>
    <row r="165" spans="1:6" ht="12.75">
      <c r="A165" t="s">
        <v>361</v>
      </c>
      <c r="B165">
        <v>2</v>
      </c>
      <c r="C165">
        <v>14</v>
      </c>
      <c r="D165">
        <v>207.2</v>
      </c>
      <c r="E165">
        <v>28</v>
      </c>
      <c r="F165" s="7">
        <v>0.48982785602503914</v>
      </c>
    </row>
    <row r="166" spans="1:6" ht="12.75">
      <c r="A166" t="s">
        <v>361</v>
      </c>
      <c r="B166">
        <v>2</v>
      </c>
      <c r="C166">
        <v>9</v>
      </c>
      <c r="D166">
        <v>148</v>
      </c>
      <c r="E166">
        <v>20</v>
      </c>
      <c r="F166" s="7">
        <v>0.44141689373297005</v>
      </c>
    </row>
    <row r="167" spans="1:6" ht="12.75">
      <c r="A167" t="s">
        <v>361</v>
      </c>
      <c r="B167">
        <v>2</v>
      </c>
      <c r="C167">
        <v>15</v>
      </c>
      <c r="D167">
        <v>414.4</v>
      </c>
      <c r="E167">
        <v>29</v>
      </c>
      <c r="F167" s="7">
        <v>0.3660130718954248</v>
      </c>
    </row>
    <row r="168" spans="1:6" ht="12.75">
      <c r="A168" t="s">
        <v>361</v>
      </c>
      <c r="B168">
        <v>2</v>
      </c>
      <c r="C168">
        <v>15</v>
      </c>
      <c r="D168">
        <v>296</v>
      </c>
      <c r="E168">
        <v>37</v>
      </c>
      <c r="F168" s="7">
        <v>0.27395209580838326</v>
      </c>
    </row>
    <row r="169" spans="1:6" ht="12.75">
      <c r="A169" t="s">
        <v>361</v>
      </c>
      <c r="B169">
        <v>2</v>
      </c>
      <c r="C169">
        <v>19</v>
      </c>
      <c r="D169">
        <v>947.2</v>
      </c>
      <c r="E169">
        <v>43</v>
      </c>
      <c r="F169" s="7">
        <v>0.20173267326732675</v>
      </c>
    </row>
    <row r="170" spans="1:6" ht="12.75">
      <c r="A170" t="s">
        <v>361</v>
      </c>
      <c r="B170">
        <v>2</v>
      </c>
      <c r="C170">
        <v>19</v>
      </c>
      <c r="D170">
        <v>917.6</v>
      </c>
      <c r="E170">
        <v>41</v>
      </c>
      <c r="F170" s="7">
        <v>0.27844311377245506</v>
      </c>
    </row>
    <row r="171" spans="1:6" ht="12.75">
      <c r="A171" t="s">
        <v>361</v>
      </c>
      <c r="B171">
        <v>2</v>
      </c>
      <c r="C171">
        <v>19</v>
      </c>
      <c r="D171">
        <v>740</v>
      </c>
      <c r="E171">
        <v>42</v>
      </c>
      <c r="F171" s="7">
        <v>0.15724815724815724</v>
      </c>
    </row>
    <row r="172" spans="1:6" ht="12.75">
      <c r="A172" t="s">
        <v>361</v>
      </c>
      <c r="B172">
        <v>2</v>
      </c>
      <c r="C172">
        <v>14</v>
      </c>
      <c r="D172">
        <v>266.4</v>
      </c>
      <c r="E172">
        <v>37</v>
      </c>
      <c r="F172" s="7">
        <v>0.27566539923954375</v>
      </c>
    </row>
    <row r="173" spans="1:6" ht="12.75">
      <c r="A173" t="s">
        <v>361</v>
      </c>
      <c r="B173">
        <v>2</v>
      </c>
      <c r="C173">
        <v>12</v>
      </c>
      <c r="D173">
        <v>414.4</v>
      </c>
      <c r="E173" s="5">
        <v>38</v>
      </c>
      <c r="F173" s="7">
        <v>0.2465331278890601</v>
      </c>
    </row>
    <row r="174" spans="1:6" ht="12.75">
      <c r="A174" t="s">
        <v>361</v>
      </c>
      <c r="B174">
        <v>2</v>
      </c>
      <c r="C174">
        <v>13</v>
      </c>
      <c r="D174">
        <v>473.6</v>
      </c>
      <c r="E174" s="5">
        <v>40</v>
      </c>
      <c r="F174" s="7">
        <v>0.1396551724137931</v>
      </c>
    </row>
    <row r="175" spans="1:6" ht="12.75">
      <c r="A175" t="s">
        <v>361</v>
      </c>
      <c r="B175">
        <v>2</v>
      </c>
      <c r="C175">
        <v>15</v>
      </c>
      <c r="D175">
        <v>828.8</v>
      </c>
      <c r="E175">
        <v>43</v>
      </c>
      <c r="F175" s="7">
        <v>0.15384615384615385</v>
      </c>
    </row>
    <row r="176" spans="1:6" ht="12.75">
      <c r="A176" t="s">
        <v>361</v>
      </c>
      <c r="B176" s="5">
        <v>2</v>
      </c>
      <c r="C176" s="26">
        <v>18</v>
      </c>
      <c r="D176" s="26">
        <v>828.8</v>
      </c>
      <c r="E176" s="26">
        <v>49</v>
      </c>
      <c r="F176" s="27">
        <v>0.16791979949874686</v>
      </c>
    </row>
    <row r="177" spans="1:6" ht="12.75">
      <c r="A177" t="s">
        <v>361</v>
      </c>
      <c r="B177" s="5">
        <v>2</v>
      </c>
      <c r="C177" s="26">
        <v>12</v>
      </c>
      <c r="D177" s="26">
        <v>592</v>
      </c>
      <c r="E177" s="26">
        <v>33</v>
      </c>
      <c r="F177" s="27">
        <v>0.32275132275132273</v>
      </c>
    </row>
    <row r="178" spans="1:6" ht="12.75">
      <c r="A178" t="s">
        <v>361</v>
      </c>
      <c r="B178" s="5">
        <v>2</v>
      </c>
      <c r="C178" s="26">
        <v>12</v>
      </c>
      <c r="D178" s="26">
        <v>592</v>
      </c>
      <c r="E178" s="26">
        <v>32</v>
      </c>
      <c r="F178" s="27">
        <v>0.35664335664335667</v>
      </c>
    </row>
    <row r="179" spans="1:6" ht="12.75">
      <c r="A179" t="s">
        <v>361</v>
      </c>
      <c r="B179" s="5">
        <v>2</v>
      </c>
      <c r="C179" s="26">
        <v>8</v>
      </c>
      <c r="D179" s="26">
        <v>88.8</v>
      </c>
      <c r="E179" s="26">
        <v>25</v>
      </c>
      <c r="F179" s="27">
        <v>0.19938650306748465</v>
      </c>
    </row>
    <row r="180" spans="2:6" ht="12.75">
      <c r="B180" s="32">
        <v>2</v>
      </c>
      <c r="C180" s="28">
        <f>AVERAGE(C161:C179)</f>
        <v>14.578947368421053</v>
      </c>
      <c r="D180" s="28">
        <f>AVERAGE(D161:D179)</f>
        <v>444.3894736842105</v>
      </c>
      <c r="E180" s="28">
        <f>AVERAGE(E161:E179)</f>
        <v>34.73684210526316</v>
      </c>
      <c r="F180" s="29">
        <f>AVERAGE(F161:F179)</f>
        <v>0.32034572957282376</v>
      </c>
    </row>
    <row r="181" spans="1:6" ht="12.75">
      <c r="A181" t="s">
        <v>363</v>
      </c>
      <c r="B181">
        <v>3</v>
      </c>
      <c r="C181">
        <v>17</v>
      </c>
      <c r="D181">
        <v>651.2</v>
      </c>
      <c r="E181">
        <v>41</v>
      </c>
      <c r="F181" s="7">
        <v>0.2543604651162791</v>
      </c>
    </row>
    <row r="182" spans="1:6" ht="12.75">
      <c r="A182" t="s">
        <v>363</v>
      </c>
      <c r="B182">
        <v>3</v>
      </c>
      <c r="C182">
        <v>22</v>
      </c>
      <c r="D182">
        <v>947.2</v>
      </c>
      <c r="E182">
        <v>47</v>
      </c>
      <c r="F182" s="7">
        <v>0.24096385542168675</v>
      </c>
    </row>
    <row r="183" spans="1:6" ht="12.75">
      <c r="A183" t="s">
        <v>363</v>
      </c>
      <c r="B183">
        <v>3</v>
      </c>
      <c r="C183">
        <v>19</v>
      </c>
      <c r="D183">
        <v>680.8</v>
      </c>
      <c r="E183">
        <v>46</v>
      </c>
      <c r="F183" s="7">
        <v>0.2033898305084746</v>
      </c>
    </row>
    <row r="184" spans="1:6" ht="12.75">
      <c r="A184" t="s">
        <v>363</v>
      </c>
      <c r="B184">
        <v>3</v>
      </c>
      <c r="C184">
        <v>17</v>
      </c>
      <c r="D184">
        <v>828.8</v>
      </c>
      <c r="E184">
        <v>34</v>
      </c>
      <c r="F184" s="7">
        <v>0.15488215488215487</v>
      </c>
    </row>
    <row r="185" spans="1:6" ht="12.75">
      <c r="A185" t="s">
        <v>363</v>
      </c>
      <c r="B185">
        <v>3</v>
      </c>
      <c r="C185">
        <v>13</v>
      </c>
      <c r="D185">
        <v>947.2</v>
      </c>
      <c r="E185">
        <v>30</v>
      </c>
      <c r="F185" s="7">
        <v>0.20967741935483872</v>
      </c>
    </row>
    <row r="186" spans="1:6" ht="12.75">
      <c r="A186" t="s">
        <v>363</v>
      </c>
      <c r="B186">
        <v>3</v>
      </c>
      <c r="C186">
        <v>19</v>
      </c>
      <c r="D186">
        <v>680.8</v>
      </c>
      <c r="E186">
        <v>47</v>
      </c>
      <c r="F186" s="7">
        <v>0.12563667232597622</v>
      </c>
    </row>
    <row r="187" spans="1:6" ht="12.75">
      <c r="A187" t="s">
        <v>363</v>
      </c>
      <c r="B187">
        <v>3</v>
      </c>
      <c r="C187">
        <v>15</v>
      </c>
      <c r="D187">
        <v>355.2</v>
      </c>
      <c r="E187">
        <v>44</v>
      </c>
      <c r="F187" s="7">
        <v>0.14979757085020243</v>
      </c>
    </row>
    <row r="188" spans="1:6" ht="12.75">
      <c r="A188" t="s">
        <v>363</v>
      </c>
      <c r="B188">
        <v>3</v>
      </c>
      <c r="C188">
        <v>19</v>
      </c>
      <c r="D188">
        <v>799.2</v>
      </c>
      <c r="E188">
        <v>53</v>
      </c>
      <c r="F188" s="7">
        <v>0.17114568599717114</v>
      </c>
    </row>
    <row r="189" spans="1:9" ht="12.75">
      <c r="A189" t="s">
        <v>363</v>
      </c>
      <c r="B189">
        <v>3</v>
      </c>
      <c r="C189">
        <v>14</v>
      </c>
      <c r="D189">
        <v>1243.2</v>
      </c>
      <c r="E189">
        <v>37</v>
      </c>
      <c r="F189" s="7">
        <v>0.15357142857142858</v>
      </c>
      <c r="I189" s="2"/>
    </row>
    <row r="190" spans="1:9" ht="12.75">
      <c r="A190" t="s">
        <v>363</v>
      </c>
      <c r="B190">
        <v>3</v>
      </c>
      <c r="C190">
        <v>17</v>
      </c>
      <c r="D190">
        <v>710.4</v>
      </c>
      <c r="E190">
        <v>36</v>
      </c>
      <c r="F190" s="7">
        <v>0.362453531598513</v>
      </c>
      <c r="I190" s="2"/>
    </row>
    <row r="191" spans="1:9" ht="12.75">
      <c r="A191" t="s">
        <v>363</v>
      </c>
      <c r="B191">
        <v>3</v>
      </c>
      <c r="C191">
        <v>18</v>
      </c>
      <c r="D191">
        <v>444</v>
      </c>
      <c r="E191">
        <v>50</v>
      </c>
      <c r="F191" s="7">
        <v>0.14388489208633093</v>
      </c>
      <c r="I191" s="2"/>
    </row>
    <row r="192" spans="1:6" ht="12.75">
      <c r="A192" t="s">
        <v>363</v>
      </c>
      <c r="B192" s="5">
        <v>3</v>
      </c>
      <c r="C192" s="26">
        <v>20</v>
      </c>
      <c r="D192" s="26">
        <v>769.6</v>
      </c>
      <c r="E192" s="26">
        <v>44</v>
      </c>
      <c r="F192" s="27">
        <v>0.24865831842576028</v>
      </c>
    </row>
    <row r="193" spans="1:6" ht="12.75">
      <c r="A193" t="s">
        <v>363</v>
      </c>
      <c r="B193" s="5">
        <v>3</v>
      </c>
      <c r="C193" s="26">
        <v>16</v>
      </c>
      <c r="D193" s="26">
        <v>1716.8</v>
      </c>
      <c r="E193" s="26">
        <v>36</v>
      </c>
      <c r="F193" s="27">
        <v>0.26948775055679286</v>
      </c>
    </row>
    <row r="194" spans="1:6" ht="12.75">
      <c r="A194" t="s">
        <v>363</v>
      </c>
      <c r="B194" s="5">
        <v>3</v>
      </c>
      <c r="C194" s="26">
        <v>19</v>
      </c>
      <c r="D194" s="26">
        <v>651.2</v>
      </c>
      <c r="E194" s="26">
        <v>45</v>
      </c>
      <c r="F194" s="27">
        <v>0.22492836676217765</v>
      </c>
    </row>
    <row r="195" spans="1:6" ht="12.75">
      <c r="A195" t="s">
        <v>363</v>
      </c>
      <c r="B195" s="5">
        <v>3</v>
      </c>
      <c r="C195" s="26">
        <v>17</v>
      </c>
      <c r="D195" s="26">
        <v>947.2</v>
      </c>
      <c r="E195" s="26">
        <v>40</v>
      </c>
      <c r="F195" s="27">
        <v>0.19686800894854586</v>
      </c>
    </row>
    <row r="196" spans="1:6" ht="12.75">
      <c r="A196" t="s">
        <v>363</v>
      </c>
      <c r="B196" s="5">
        <v>3</v>
      </c>
      <c r="C196" s="26">
        <v>14</v>
      </c>
      <c r="D196" s="26">
        <v>1006.4</v>
      </c>
      <c r="E196" s="26">
        <v>35</v>
      </c>
      <c r="F196" s="27">
        <v>0.2507936507936508</v>
      </c>
    </row>
    <row r="197" spans="1:6" ht="12.75">
      <c r="A197" t="s">
        <v>363</v>
      </c>
      <c r="B197" s="5">
        <v>3</v>
      </c>
      <c r="C197" s="26">
        <v>18</v>
      </c>
      <c r="D197" s="26">
        <v>1332</v>
      </c>
      <c r="E197" s="26">
        <v>54</v>
      </c>
      <c r="F197" s="27">
        <v>0.20678336980306344</v>
      </c>
    </row>
    <row r="198" spans="1:6" ht="12.75">
      <c r="A198" t="s">
        <v>363</v>
      </c>
      <c r="B198" s="5">
        <v>3</v>
      </c>
      <c r="C198" s="26">
        <v>17</v>
      </c>
      <c r="D198" s="26">
        <v>947.2</v>
      </c>
      <c r="E198" s="26">
        <v>43</v>
      </c>
      <c r="F198" s="27">
        <v>0.25680933852140075</v>
      </c>
    </row>
    <row r="199" spans="1:6" ht="12.75">
      <c r="A199" t="s">
        <v>363</v>
      </c>
      <c r="B199" s="5">
        <v>3</v>
      </c>
      <c r="C199" s="26">
        <v>18</v>
      </c>
      <c r="D199" s="26">
        <v>740</v>
      </c>
      <c r="E199" s="26">
        <v>48</v>
      </c>
      <c r="F199" s="27">
        <v>0.25301204819277107</v>
      </c>
    </row>
    <row r="200" spans="1:6" ht="12.75">
      <c r="A200" t="s">
        <v>363</v>
      </c>
      <c r="B200" s="5">
        <v>3</v>
      </c>
      <c r="C200" s="26">
        <v>18</v>
      </c>
      <c r="D200" s="26">
        <v>473.6</v>
      </c>
      <c r="E200" s="26">
        <v>46</v>
      </c>
      <c r="F200" s="27">
        <v>0.2624521072796935</v>
      </c>
    </row>
    <row r="201" spans="1:6" ht="12.75">
      <c r="A201" t="s">
        <v>363</v>
      </c>
      <c r="B201" s="5">
        <v>3</v>
      </c>
      <c r="C201" s="26">
        <v>17</v>
      </c>
      <c r="D201" s="26">
        <v>503.2</v>
      </c>
      <c r="E201" s="26">
        <v>44</v>
      </c>
      <c r="F201" s="27">
        <v>0.28224687933425796</v>
      </c>
    </row>
    <row r="202" spans="1:6" ht="12.75">
      <c r="A202" t="s">
        <v>363</v>
      </c>
      <c r="B202" s="5">
        <v>3</v>
      </c>
      <c r="C202" s="26">
        <v>12</v>
      </c>
      <c r="D202" s="26">
        <v>266.4</v>
      </c>
      <c r="E202" s="26">
        <v>41</v>
      </c>
      <c r="F202" s="27">
        <v>0.24842767295597484</v>
      </c>
    </row>
    <row r="203" spans="2:6" ht="12.75">
      <c r="B203" s="32">
        <v>3</v>
      </c>
      <c r="C203" s="28">
        <f>AVERAGE(C181:C202)</f>
        <v>17.09090909090909</v>
      </c>
      <c r="D203" s="28">
        <f>AVERAGE(D181:D202)</f>
        <v>801.8909090909092</v>
      </c>
      <c r="E203" s="28">
        <f>AVERAGE(E181:E202)</f>
        <v>42.77272727272727</v>
      </c>
      <c r="F203" s="29">
        <f>AVERAGE(F181:F202)</f>
        <v>0.2213741371948702</v>
      </c>
    </row>
    <row r="205" spans="3:5" ht="12.75">
      <c r="C205" t="s">
        <v>421</v>
      </c>
      <c r="D205" t="s">
        <v>421</v>
      </c>
      <c r="E205" t="s">
        <v>245</v>
      </c>
    </row>
    <row r="206" spans="2:5" ht="12.75">
      <c r="B206" t="s">
        <v>16</v>
      </c>
      <c r="C206" t="s">
        <v>221</v>
      </c>
      <c r="D206" t="s">
        <v>238</v>
      </c>
      <c r="E206" t="s">
        <v>246</v>
      </c>
    </row>
    <row r="207" spans="2:5" ht="12.75">
      <c r="B207">
        <v>1</v>
      </c>
      <c r="C207">
        <v>4</v>
      </c>
      <c r="D207" s="8">
        <v>3.4482758620689653</v>
      </c>
      <c r="E207" s="6">
        <v>1.3620689655172413</v>
      </c>
    </row>
    <row r="208" spans="2:5" ht="12.75">
      <c r="B208">
        <v>1</v>
      </c>
      <c r="C208">
        <v>7</v>
      </c>
      <c r="D208" s="8">
        <v>38.89943074003795</v>
      </c>
      <c r="E208" s="6">
        <v>3.3605313092979125</v>
      </c>
    </row>
    <row r="209" spans="2:5" ht="12.75">
      <c r="B209">
        <v>1</v>
      </c>
      <c r="C209">
        <v>7</v>
      </c>
      <c r="D209" s="8">
        <v>60.96096096096096</v>
      </c>
      <c r="E209" s="6">
        <v>3.9234234234234235</v>
      </c>
    </row>
    <row r="210" spans="2:5" ht="12.75">
      <c r="B210">
        <v>1</v>
      </c>
      <c r="C210">
        <v>10</v>
      </c>
      <c r="D210" s="8">
        <v>67.12018140589569</v>
      </c>
      <c r="E210" s="6">
        <v>4.587301587301587</v>
      </c>
    </row>
    <row r="211" spans="2:5" ht="12.75">
      <c r="B211">
        <v>1</v>
      </c>
      <c r="C211">
        <v>12</v>
      </c>
      <c r="D211" s="8">
        <v>76.16487455197132</v>
      </c>
      <c r="E211" s="6">
        <v>5.28494623655914</v>
      </c>
    </row>
    <row r="212" spans="2:5" ht="12.75">
      <c r="B212">
        <v>1</v>
      </c>
      <c r="C212">
        <v>10</v>
      </c>
      <c r="D212" s="8">
        <v>63.090676883780326</v>
      </c>
      <c r="E212" s="6">
        <v>4.300127713920817</v>
      </c>
    </row>
    <row r="213" spans="2:5" ht="12.75">
      <c r="B213">
        <v>1</v>
      </c>
      <c r="C213">
        <v>16</v>
      </c>
      <c r="D213" s="8">
        <v>73.16219369894984</v>
      </c>
      <c r="E213" s="6">
        <v>5.028004667444574</v>
      </c>
    </row>
    <row r="214" spans="2:5" ht="12.75">
      <c r="B214">
        <v>1</v>
      </c>
      <c r="C214">
        <v>14</v>
      </c>
      <c r="D214" s="8">
        <v>34.974533106960955</v>
      </c>
      <c r="E214" s="6">
        <v>3.6162988115449917</v>
      </c>
    </row>
    <row r="215" spans="2:5" ht="12.75">
      <c r="B215">
        <v>1</v>
      </c>
      <c r="C215">
        <v>8</v>
      </c>
      <c r="D215" s="8">
        <v>26.902173913043477</v>
      </c>
      <c r="E215" s="6">
        <v>3.3315217391304346</v>
      </c>
    </row>
    <row r="216" spans="2:5" ht="12.75">
      <c r="B216">
        <v>1</v>
      </c>
      <c r="C216" s="28">
        <f>AVERAGE(C207:C215)</f>
        <v>9.777777777777779</v>
      </c>
      <c r="D216" s="28">
        <f>AVERAGE(D207:D215)</f>
        <v>49.41370012485216</v>
      </c>
      <c r="E216" s="30">
        <f>AVERAGE(E207:E215)</f>
        <v>3.866024939348902</v>
      </c>
    </row>
    <row r="217" spans="2:5" ht="12.75">
      <c r="B217">
        <v>2</v>
      </c>
      <c r="C217">
        <v>4</v>
      </c>
      <c r="D217" s="8">
        <v>1.0515247108307046</v>
      </c>
      <c r="E217" s="6">
        <v>2.227129337539432</v>
      </c>
    </row>
    <row r="218" spans="2:5" ht="12.75">
      <c r="B218">
        <v>2</v>
      </c>
      <c r="C218">
        <v>10</v>
      </c>
      <c r="D218" s="8">
        <v>1.5436241610738255</v>
      </c>
      <c r="E218" s="6">
        <v>2.836241610738255</v>
      </c>
    </row>
    <row r="219" spans="2:5" ht="12.75">
      <c r="B219">
        <v>2</v>
      </c>
      <c r="C219">
        <v>7</v>
      </c>
      <c r="D219" s="8">
        <v>8.128704487722269</v>
      </c>
      <c r="E219" s="6">
        <v>3.52497883149873</v>
      </c>
    </row>
    <row r="220" spans="2:5" ht="12.75">
      <c r="B220">
        <v>2</v>
      </c>
      <c r="C220">
        <v>8</v>
      </c>
      <c r="D220" s="8">
        <v>21.573033707865168</v>
      </c>
      <c r="E220" s="6">
        <v>3.3820224719101124</v>
      </c>
    </row>
    <row r="221" spans="2:5" ht="12.75">
      <c r="B221">
        <v>2</v>
      </c>
      <c r="C221">
        <v>8</v>
      </c>
      <c r="D221" s="8">
        <v>21.12676056338028</v>
      </c>
      <c r="E221" s="6">
        <v>2.6181533646322377</v>
      </c>
    </row>
    <row r="222" spans="2:5" ht="12.75">
      <c r="B222">
        <v>2</v>
      </c>
      <c r="C222">
        <v>7</v>
      </c>
      <c r="D222" s="8">
        <v>24.795640326975477</v>
      </c>
      <c r="E222" s="6">
        <v>2.915531335149864</v>
      </c>
    </row>
    <row r="223" spans="2:5" ht="12.75">
      <c r="B223">
        <v>2</v>
      </c>
      <c r="C223">
        <v>6</v>
      </c>
      <c r="D223" s="8">
        <v>19.607843137254903</v>
      </c>
      <c r="E223" s="6">
        <v>2.505446623093682</v>
      </c>
    </row>
    <row r="224" spans="2:5" ht="12.75">
      <c r="B224">
        <v>2</v>
      </c>
      <c r="C224">
        <v>12</v>
      </c>
      <c r="D224" s="8">
        <v>20.65868263473054</v>
      </c>
      <c r="E224" s="6">
        <v>2.980538922155689</v>
      </c>
    </row>
    <row r="225" spans="2:5" ht="12.75">
      <c r="B225">
        <v>2</v>
      </c>
      <c r="C225">
        <v>12</v>
      </c>
      <c r="D225" s="8">
        <v>36.88118811881188</v>
      </c>
      <c r="E225" s="6">
        <v>3.9542079207920793</v>
      </c>
    </row>
    <row r="226" spans="2:5" ht="12.75">
      <c r="B226">
        <v>2</v>
      </c>
      <c r="C226">
        <v>9</v>
      </c>
      <c r="D226" s="8">
        <v>14.97005988023952</v>
      </c>
      <c r="E226" s="6">
        <v>3.2604790419161676</v>
      </c>
    </row>
    <row r="227" spans="2:5" ht="12.75">
      <c r="B227">
        <v>2</v>
      </c>
      <c r="C227">
        <v>9</v>
      </c>
      <c r="D227" s="8">
        <v>28.992628992628994</v>
      </c>
      <c r="E227" s="6">
        <v>3.86977886977887</v>
      </c>
    </row>
    <row r="228" spans="2:5" ht="12.75">
      <c r="B228">
        <v>2</v>
      </c>
      <c r="C228">
        <v>13</v>
      </c>
      <c r="D228" s="8">
        <v>38.78326996197718</v>
      </c>
      <c r="E228" s="6">
        <v>5.02851711026616</v>
      </c>
    </row>
    <row r="229" spans="2:5" ht="12.75">
      <c r="B229">
        <v>2</v>
      </c>
      <c r="C229" s="5">
        <v>16</v>
      </c>
      <c r="D229" s="8">
        <v>41.75654853620955</v>
      </c>
      <c r="E229" s="6">
        <v>4.795069337442219</v>
      </c>
    </row>
    <row r="230" spans="2:5" ht="12.75">
      <c r="B230">
        <v>2</v>
      </c>
      <c r="C230" s="5">
        <v>15</v>
      </c>
      <c r="D230" s="8">
        <v>28.620689655172416</v>
      </c>
      <c r="E230" s="6">
        <v>4.0137931034482754</v>
      </c>
    </row>
    <row r="231" spans="2:5" ht="12.75">
      <c r="B231">
        <v>2</v>
      </c>
      <c r="C231" s="5">
        <v>15</v>
      </c>
      <c r="D231" s="8">
        <v>21.794871794871796</v>
      </c>
      <c r="E231" s="6">
        <v>3.5982905982905984</v>
      </c>
    </row>
    <row r="232" spans="2:5" ht="12.75">
      <c r="B232" s="5">
        <v>2</v>
      </c>
      <c r="C232" s="26">
        <v>15</v>
      </c>
      <c r="D232" s="8">
        <v>25.81453634085213</v>
      </c>
      <c r="E232" s="6">
        <v>3.5789473684210527</v>
      </c>
    </row>
    <row r="233" spans="2:5" ht="12.75">
      <c r="B233" s="5">
        <v>2</v>
      </c>
      <c r="C233" s="26">
        <v>10</v>
      </c>
      <c r="D233" s="8">
        <v>58.46560846560847</v>
      </c>
      <c r="E233" s="6">
        <v>4.58994708994709</v>
      </c>
    </row>
    <row r="234" spans="2:5" ht="12.75">
      <c r="B234" s="5">
        <v>2</v>
      </c>
      <c r="C234" s="26">
        <v>9</v>
      </c>
      <c r="D234" s="8">
        <v>61.36363636363637</v>
      </c>
      <c r="E234" s="6">
        <v>4.818181818181818</v>
      </c>
    </row>
    <row r="235" spans="2:5" ht="12.75">
      <c r="B235" s="5">
        <v>2</v>
      </c>
      <c r="C235" s="26">
        <v>7</v>
      </c>
      <c r="D235" s="8">
        <v>54.9079754601227</v>
      </c>
      <c r="E235" s="6">
        <v>3.9754601226993866</v>
      </c>
    </row>
    <row r="236" spans="2:5" ht="12.75">
      <c r="B236" s="31">
        <f>AVERAGE(B217:B235)</f>
        <v>2</v>
      </c>
      <c r="C236" s="28">
        <f>AVERAGE(C217:C235)</f>
        <v>10.105263157894736</v>
      </c>
      <c r="D236" s="28">
        <f>AVERAGE(D217:D235)</f>
        <v>27.93878038420864</v>
      </c>
      <c r="E236" s="30">
        <f>AVERAGE(E217:E235)</f>
        <v>3.6038270988369328</v>
      </c>
    </row>
    <row r="237" spans="2:5" ht="12.75">
      <c r="B237">
        <v>3</v>
      </c>
      <c r="C237">
        <v>14</v>
      </c>
      <c r="D237" s="8">
        <v>21.075581395348838</v>
      </c>
      <c r="E237" s="6">
        <v>3.3822674418604652</v>
      </c>
    </row>
    <row r="238" spans="2:5" ht="12.75">
      <c r="B238">
        <v>3</v>
      </c>
      <c r="C238">
        <v>13</v>
      </c>
      <c r="D238" s="8">
        <v>18.072289156626507</v>
      </c>
      <c r="E238" s="6">
        <v>3.2590361445783134</v>
      </c>
    </row>
    <row r="239" spans="2:5" ht="12.75">
      <c r="B239">
        <v>3</v>
      </c>
      <c r="C239">
        <v>15</v>
      </c>
      <c r="D239" s="8">
        <v>14.40677966101695</v>
      </c>
      <c r="E239" s="6">
        <v>2.8029661016949152</v>
      </c>
    </row>
    <row r="240" spans="2:5" ht="12.75">
      <c r="B240">
        <v>3</v>
      </c>
      <c r="C240">
        <v>11</v>
      </c>
      <c r="D240" s="8">
        <v>30.303030303030305</v>
      </c>
      <c r="E240" s="6">
        <v>3.047138047138047</v>
      </c>
    </row>
    <row r="241" spans="2:5" ht="12.75">
      <c r="B241">
        <v>3</v>
      </c>
      <c r="C241">
        <v>9</v>
      </c>
      <c r="D241" s="8">
        <v>28.225806451612907</v>
      </c>
      <c r="E241" s="6">
        <v>3.8951612903225805</v>
      </c>
    </row>
    <row r="242" spans="2:5" ht="12.75">
      <c r="B242">
        <v>3</v>
      </c>
      <c r="C242">
        <v>15</v>
      </c>
      <c r="D242" s="8">
        <v>29.20203735144312</v>
      </c>
      <c r="E242" s="6">
        <v>3.8471986417657047</v>
      </c>
    </row>
    <row r="243" spans="2:5" ht="12.75">
      <c r="B243">
        <v>3</v>
      </c>
      <c r="C243">
        <v>18</v>
      </c>
      <c r="D243" s="8">
        <v>34.81781376518219</v>
      </c>
      <c r="E243" s="6">
        <v>3.9433198380566803</v>
      </c>
    </row>
    <row r="244" spans="2:5" ht="12.75">
      <c r="B244">
        <v>3</v>
      </c>
      <c r="C244">
        <v>21</v>
      </c>
      <c r="D244" s="8">
        <v>18.67043847241867</v>
      </c>
      <c r="E244" s="6">
        <v>3.1782178217821784</v>
      </c>
    </row>
    <row r="245" spans="2:5" ht="12.75">
      <c r="B245">
        <v>3</v>
      </c>
      <c r="C245">
        <v>13</v>
      </c>
      <c r="D245" s="8">
        <v>13.928571428571429</v>
      </c>
      <c r="E245" s="6">
        <v>2.9964285714285714</v>
      </c>
    </row>
    <row r="246" spans="2:5" ht="12.75">
      <c r="B246">
        <v>3</v>
      </c>
      <c r="C246" s="5">
        <v>9</v>
      </c>
      <c r="D246" s="8">
        <v>5.018587360594796</v>
      </c>
      <c r="E246" s="6">
        <v>3.037174721189591</v>
      </c>
    </row>
    <row r="247" spans="2:5" ht="12.75">
      <c r="B247">
        <v>3</v>
      </c>
      <c r="C247" s="5">
        <v>16</v>
      </c>
      <c r="D247" s="8">
        <v>17.26618705035971</v>
      </c>
      <c r="E247" s="6">
        <v>3.7985611510791366</v>
      </c>
    </row>
    <row r="248" spans="2:5" ht="12.75">
      <c r="B248" s="5">
        <v>3</v>
      </c>
      <c r="C248" s="26">
        <v>11</v>
      </c>
      <c r="D248" s="8">
        <v>20.214669051878353</v>
      </c>
      <c r="E248" s="6">
        <v>3.2325581395348837</v>
      </c>
    </row>
    <row r="249" spans="2:5" ht="12.75">
      <c r="B249" s="5">
        <v>3</v>
      </c>
      <c r="C249" s="26">
        <v>8</v>
      </c>
      <c r="D249" s="8">
        <v>18.040089086859687</v>
      </c>
      <c r="E249" s="6">
        <v>3.329621380846325</v>
      </c>
    </row>
    <row r="250" spans="2:5" ht="12.75">
      <c r="B250" s="5">
        <v>3</v>
      </c>
      <c r="C250" s="26">
        <v>12</v>
      </c>
      <c r="D250" s="8">
        <v>27.936962750716333</v>
      </c>
      <c r="E250" s="6">
        <v>3.495702005730659</v>
      </c>
    </row>
    <row r="251" spans="2:5" ht="12.75">
      <c r="B251" s="5">
        <v>3</v>
      </c>
      <c r="C251" s="26">
        <v>10</v>
      </c>
      <c r="D251" s="8">
        <v>16.33109619686801</v>
      </c>
      <c r="E251" s="6">
        <v>3.2348993288590604</v>
      </c>
    </row>
    <row r="252" spans="2:5" ht="12.75">
      <c r="B252" s="5">
        <v>3</v>
      </c>
      <c r="C252" s="26">
        <v>11</v>
      </c>
      <c r="D252" s="8">
        <v>35.55555555555556</v>
      </c>
      <c r="E252" s="6">
        <v>3.7587301587301587</v>
      </c>
    </row>
    <row r="253" spans="2:5" ht="12.75">
      <c r="B253" s="5">
        <v>3</v>
      </c>
      <c r="C253" s="26">
        <v>19</v>
      </c>
      <c r="D253" s="8">
        <v>21.2253829321663</v>
      </c>
      <c r="E253" s="6">
        <v>3.550328227571116</v>
      </c>
    </row>
    <row r="254" spans="2:5" ht="12.75">
      <c r="B254" s="5">
        <v>3</v>
      </c>
      <c r="C254" s="26">
        <v>12</v>
      </c>
      <c r="D254" s="8">
        <v>21.78988326848249</v>
      </c>
      <c r="E254" s="6">
        <v>3.8813229571984436</v>
      </c>
    </row>
    <row r="255" spans="2:5" ht="12.75">
      <c r="B255" s="5">
        <v>3</v>
      </c>
      <c r="C255" s="26">
        <v>15</v>
      </c>
      <c r="D255" s="8">
        <v>22.719449225473323</v>
      </c>
      <c r="E255" s="6">
        <v>3.5783132530120483</v>
      </c>
    </row>
    <row r="256" spans="2:5" ht="12.75">
      <c r="B256" s="5">
        <v>3</v>
      </c>
      <c r="C256" s="26">
        <v>14</v>
      </c>
      <c r="D256" s="8">
        <v>12.835249042145595</v>
      </c>
      <c r="E256" s="6">
        <v>3.442528735632184</v>
      </c>
    </row>
    <row r="257" spans="2:5" ht="12.75">
      <c r="B257" s="5">
        <v>3</v>
      </c>
      <c r="C257" s="26">
        <v>13</v>
      </c>
      <c r="D257" s="8">
        <v>54.85436893203884</v>
      </c>
      <c r="E257" s="6">
        <v>4.394590846047157</v>
      </c>
    </row>
    <row r="258" spans="2:5" ht="12.75">
      <c r="B258" s="5">
        <v>3</v>
      </c>
      <c r="C258" s="26">
        <v>15</v>
      </c>
      <c r="D258" s="8">
        <v>59.119496855345915</v>
      </c>
      <c r="E258" s="6">
        <v>4.79874213836478</v>
      </c>
    </row>
    <row r="259" spans="2:5" ht="12.75">
      <c r="B259" s="32">
        <v>3</v>
      </c>
      <c r="C259" s="28">
        <f>AVERAGE(C237:C258)</f>
        <v>13.363636363636363</v>
      </c>
      <c r="D259" s="28">
        <f>AVERAGE(D237:D258)</f>
        <v>24.618605695169812</v>
      </c>
      <c r="E259" s="30">
        <f>AVERAGE(E237:E258)</f>
        <v>3.5402184973828628</v>
      </c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90"/>
  <sheetViews>
    <sheetView zoomScale="75" zoomScaleNormal="75" workbookViewId="0" topLeftCell="D1">
      <pane xSplit="1" ySplit="12" topLeftCell="E166" activePane="bottomRight" state="frozen"/>
      <selection pane="topLeft" activeCell="D1" sqref="D1"/>
      <selection pane="topRight" activeCell="E1" sqref="E1"/>
      <selection pane="bottomLeft" activeCell="D13" sqref="D13"/>
      <selection pane="bottomRight" activeCell="H178" sqref="H178"/>
    </sheetView>
  </sheetViews>
  <sheetFormatPr defaultColWidth="9.140625" defaultRowHeight="12.75"/>
  <cols>
    <col min="1" max="1" width="25.7109375" style="53" customWidth="1"/>
    <col min="2" max="2" width="20.7109375" style="53" customWidth="1"/>
    <col min="3" max="3" width="28.7109375" style="53" customWidth="1"/>
    <col min="4" max="4" width="35.421875" style="53" bestFit="1" customWidth="1"/>
    <col min="5" max="28" width="10.7109375" style="53" customWidth="1"/>
    <col min="29" max="16384" width="9.140625" style="53" customWidth="1"/>
  </cols>
  <sheetData>
    <row r="1" spans="1:8" ht="12.75">
      <c r="A1" s="57" t="s">
        <v>486</v>
      </c>
      <c r="H1" s="53" t="s">
        <v>440</v>
      </c>
    </row>
    <row r="2" ht="12.75">
      <c r="H2" s="53" t="s">
        <v>441</v>
      </c>
    </row>
    <row r="3" spans="1:8" ht="12.75">
      <c r="A3" s="53" t="s">
        <v>5</v>
      </c>
      <c r="H3" s="53" t="s">
        <v>486</v>
      </c>
    </row>
    <row r="4" spans="8:52" ht="12.75">
      <c r="H4" s="57" t="s">
        <v>519</v>
      </c>
      <c r="P4" s="57" t="s">
        <v>519</v>
      </c>
      <c r="X4" s="57" t="s">
        <v>520</v>
      </c>
      <c r="AF4" s="58" t="s">
        <v>487</v>
      </c>
      <c r="AP4" s="58" t="s">
        <v>487</v>
      </c>
      <c r="AZ4" s="58" t="s">
        <v>487</v>
      </c>
    </row>
    <row r="5" spans="1:61" ht="12.75">
      <c r="A5" s="53" t="s">
        <v>488</v>
      </c>
      <c r="D5" s="59" t="s">
        <v>15</v>
      </c>
      <c r="E5" s="59"/>
      <c r="F5" s="59"/>
      <c r="H5" s="53" t="s">
        <v>501</v>
      </c>
      <c r="I5" s="53" t="s">
        <v>502</v>
      </c>
      <c r="J5" s="53" t="s">
        <v>503</v>
      </c>
      <c r="K5" s="53" t="s">
        <v>504</v>
      </c>
      <c r="L5" s="53" t="s">
        <v>505</v>
      </c>
      <c r="P5" s="53" t="s">
        <v>501</v>
      </c>
      <c r="Q5" s="53" t="s">
        <v>502</v>
      </c>
      <c r="R5" s="53" t="s">
        <v>503</v>
      </c>
      <c r="S5" s="53" t="s">
        <v>504</v>
      </c>
      <c r="T5" s="53" t="s">
        <v>505</v>
      </c>
      <c r="X5" s="53" t="s">
        <v>501</v>
      </c>
      <c r="Y5" s="53" t="s">
        <v>502</v>
      </c>
      <c r="Z5" s="53" t="s">
        <v>503</v>
      </c>
      <c r="AA5" s="53" t="s">
        <v>504</v>
      </c>
      <c r="AB5" s="53" t="s">
        <v>505</v>
      </c>
      <c r="AF5" s="53" t="s">
        <v>501</v>
      </c>
      <c r="AG5" s="53" t="s">
        <v>502</v>
      </c>
      <c r="AH5" s="53" t="s">
        <v>503</v>
      </c>
      <c r="AI5" s="53" t="s">
        <v>504</v>
      </c>
      <c r="AJ5" s="53" t="s">
        <v>505</v>
      </c>
      <c r="AP5" s="53" t="s">
        <v>501</v>
      </c>
      <c r="AQ5" s="53" t="s">
        <v>502</v>
      </c>
      <c r="AR5" s="53" t="s">
        <v>503</v>
      </c>
      <c r="AS5" s="53" t="s">
        <v>504</v>
      </c>
      <c r="AT5" s="53" t="s">
        <v>505</v>
      </c>
      <c r="AZ5" s="53" t="s">
        <v>501</v>
      </c>
      <c r="BA5" s="53" t="s">
        <v>502</v>
      </c>
      <c r="BB5" s="53" t="s">
        <v>503</v>
      </c>
      <c r="BC5" s="53" t="s">
        <v>504</v>
      </c>
      <c r="BD5" s="53" t="s">
        <v>505</v>
      </c>
      <c r="BE5" s="53" t="s">
        <v>506</v>
      </c>
      <c r="BF5" s="53" t="s">
        <v>507</v>
      </c>
      <c r="BG5" s="53" t="s">
        <v>508</v>
      </c>
      <c r="BH5" s="53" t="s">
        <v>509</v>
      </c>
      <c r="BI5" s="53" t="s">
        <v>510</v>
      </c>
    </row>
    <row r="6" spans="4:61" ht="12.75">
      <c r="D6" s="59" t="s">
        <v>67</v>
      </c>
      <c r="E6" s="59"/>
      <c r="F6" s="59"/>
      <c r="G6" s="59" t="s">
        <v>67</v>
      </c>
      <c r="H6" s="53">
        <v>1</v>
      </c>
      <c r="I6" s="53">
        <v>1</v>
      </c>
      <c r="J6" s="53">
        <v>1</v>
      </c>
      <c r="K6" s="53">
        <v>1</v>
      </c>
      <c r="L6" s="53">
        <v>1</v>
      </c>
      <c r="O6" s="59" t="s">
        <v>67</v>
      </c>
      <c r="P6" s="53">
        <v>1</v>
      </c>
      <c r="Q6" s="53">
        <v>1</v>
      </c>
      <c r="R6" s="53">
        <v>1</v>
      </c>
      <c r="S6" s="53">
        <v>1</v>
      </c>
      <c r="T6" s="53">
        <v>1</v>
      </c>
      <c r="W6" s="59" t="s">
        <v>67</v>
      </c>
      <c r="X6" s="53">
        <v>1</v>
      </c>
      <c r="Y6" s="53">
        <v>1</v>
      </c>
      <c r="Z6" s="53">
        <v>1</v>
      </c>
      <c r="AA6" s="53">
        <v>1</v>
      </c>
      <c r="AB6" s="53">
        <v>1</v>
      </c>
      <c r="AE6" s="59" t="s">
        <v>67</v>
      </c>
      <c r="AF6" s="53">
        <v>1</v>
      </c>
      <c r="AG6" s="53">
        <v>1</v>
      </c>
      <c r="AH6" s="53">
        <v>1</v>
      </c>
      <c r="AI6" s="53">
        <v>1</v>
      </c>
      <c r="AJ6" s="53">
        <v>1</v>
      </c>
      <c r="AO6" s="59" t="s">
        <v>67</v>
      </c>
      <c r="AP6" s="53">
        <v>1</v>
      </c>
      <c r="AQ6" s="53">
        <v>1</v>
      </c>
      <c r="AR6" s="53">
        <v>1</v>
      </c>
      <c r="AS6" s="53">
        <v>1</v>
      </c>
      <c r="AT6" s="53">
        <v>1</v>
      </c>
      <c r="AY6" s="59" t="s">
        <v>67</v>
      </c>
      <c r="AZ6" s="53">
        <v>1</v>
      </c>
      <c r="BA6" s="53">
        <v>1</v>
      </c>
      <c r="BB6" s="53">
        <v>1</v>
      </c>
      <c r="BC6" s="53">
        <v>1</v>
      </c>
      <c r="BD6" s="53">
        <v>1</v>
      </c>
      <c r="BE6" s="53">
        <v>1</v>
      </c>
      <c r="BF6" s="53">
        <v>1</v>
      </c>
      <c r="BG6" s="53">
        <v>1</v>
      </c>
      <c r="BH6" s="53">
        <v>1</v>
      </c>
      <c r="BI6" s="53">
        <v>1</v>
      </c>
    </row>
    <row r="7" spans="4:61" s="60" customFormat="1" ht="12.75">
      <c r="D7" s="60" t="s">
        <v>529</v>
      </c>
      <c r="G7" s="60" t="s">
        <v>529</v>
      </c>
      <c r="H7" s="61">
        <v>0.125</v>
      </c>
      <c r="I7" s="61">
        <v>0.09375</v>
      </c>
      <c r="J7" s="61">
        <v>0.046875</v>
      </c>
      <c r="K7" s="61">
        <v>0.1875</v>
      </c>
      <c r="L7" s="61">
        <v>0.0625</v>
      </c>
      <c r="M7" s="61"/>
      <c r="N7" s="61"/>
      <c r="O7" s="60" t="s">
        <v>529</v>
      </c>
      <c r="P7" s="61">
        <v>0.25</v>
      </c>
      <c r="Q7" s="61">
        <v>0.25</v>
      </c>
      <c r="R7" s="61">
        <v>0.125</v>
      </c>
      <c r="S7" s="61">
        <v>0.0625</v>
      </c>
      <c r="T7" s="61">
        <v>0.125</v>
      </c>
      <c r="U7" s="61"/>
      <c r="V7" s="61"/>
      <c r="W7" s="60" t="s">
        <v>529</v>
      </c>
      <c r="X7" s="61">
        <v>0.5</v>
      </c>
      <c r="Y7" s="61">
        <v>1</v>
      </c>
      <c r="Z7" s="61">
        <v>0.25</v>
      </c>
      <c r="AA7" s="61">
        <v>0.375</v>
      </c>
      <c r="AB7" s="61">
        <v>0.0625</v>
      </c>
      <c r="AE7" s="60" t="s">
        <v>529</v>
      </c>
      <c r="AF7" s="60">
        <v>0.0625</v>
      </c>
      <c r="AG7" s="60">
        <v>0.125</v>
      </c>
      <c r="AH7" s="60">
        <v>0.03125</v>
      </c>
      <c r="AI7" s="60">
        <v>0.0625</v>
      </c>
      <c r="AJ7" s="60">
        <v>0.046875</v>
      </c>
      <c r="AO7" s="60" t="s">
        <v>529</v>
      </c>
      <c r="AP7" s="60">
        <v>0.0625</v>
      </c>
      <c r="AQ7" s="60">
        <v>0.09375</v>
      </c>
      <c r="AR7" s="60">
        <v>0.1875</v>
      </c>
      <c r="AS7" s="60">
        <v>0.25</v>
      </c>
      <c r="AT7" s="60">
        <v>0.1875</v>
      </c>
      <c r="AY7" s="60" t="s">
        <v>529</v>
      </c>
      <c r="AZ7" s="60">
        <v>1</v>
      </c>
      <c r="BA7" s="60">
        <v>0.25</v>
      </c>
      <c r="BB7" s="60">
        <v>0.125</v>
      </c>
      <c r="BC7" s="60">
        <v>0.25</v>
      </c>
      <c r="BD7" s="60">
        <v>0.1875</v>
      </c>
      <c r="BE7" s="60">
        <v>0.78125</v>
      </c>
      <c r="BF7" s="60">
        <v>0.25</v>
      </c>
      <c r="BG7" s="60">
        <v>0.125</v>
      </c>
      <c r="BH7" s="60">
        <v>0.25</v>
      </c>
      <c r="BI7" s="60">
        <v>0.25</v>
      </c>
    </row>
    <row r="8" spans="1:51" ht="12.75">
      <c r="A8" s="53" t="s">
        <v>0</v>
      </c>
      <c r="D8" s="59" t="s">
        <v>16</v>
      </c>
      <c r="G8" s="59" t="s">
        <v>16</v>
      </c>
      <c r="O8" s="59" t="s">
        <v>16</v>
      </c>
      <c r="W8" s="59" t="s">
        <v>16</v>
      </c>
      <c r="AE8" s="59" t="s">
        <v>16</v>
      </c>
      <c r="AO8" s="59" t="s">
        <v>16</v>
      </c>
      <c r="AY8" s="59" t="s">
        <v>16</v>
      </c>
    </row>
    <row r="9" spans="4:51" ht="12.75">
      <c r="D9" s="59" t="s">
        <v>320</v>
      </c>
      <c r="G9" s="59" t="s">
        <v>320</v>
      </c>
      <c r="O9" s="59" t="s">
        <v>320</v>
      </c>
      <c r="W9" s="59" t="s">
        <v>320</v>
      </c>
      <c r="AE9" s="59" t="s">
        <v>320</v>
      </c>
      <c r="AO9" s="59" t="s">
        <v>320</v>
      </c>
      <c r="AY9" s="59" t="s">
        <v>320</v>
      </c>
    </row>
    <row r="10" spans="1:61" ht="12.75">
      <c r="A10" s="53" t="s">
        <v>7</v>
      </c>
      <c r="D10" s="59" t="s">
        <v>64</v>
      </c>
      <c r="G10" s="59" t="s">
        <v>269</v>
      </c>
      <c r="H10" s="53" t="s">
        <v>65</v>
      </c>
      <c r="I10" s="53" t="s">
        <v>65</v>
      </c>
      <c r="J10" s="53" t="s">
        <v>65</v>
      </c>
      <c r="K10" s="53" t="s">
        <v>65</v>
      </c>
      <c r="L10" s="53" t="s">
        <v>65</v>
      </c>
      <c r="O10" s="59" t="s">
        <v>269</v>
      </c>
      <c r="P10" s="53" t="s">
        <v>66</v>
      </c>
      <c r="Q10" s="53" t="s">
        <v>66</v>
      </c>
      <c r="R10" s="53" t="s">
        <v>66</v>
      </c>
      <c r="S10" s="53" t="s">
        <v>66</v>
      </c>
      <c r="T10" s="53" t="s">
        <v>66</v>
      </c>
      <c r="W10" s="59" t="s">
        <v>269</v>
      </c>
      <c r="X10" s="53" t="s">
        <v>275</v>
      </c>
      <c r="Y10" s="53" t="s">
        <v>275</v>
      </c>
      <c r="Z10" s="53" t="s">
        <v>275</v>
      </c>
      <c r="AA10" s="53" t="s">
        <v>275</v>
      </c>
      <c r="AB10" s="53" t="s">
        <v>275</v>
      </c>
      <c r="AE10" s="59" t="s">
        <v>269</v>
      </c>
      <c r="AF10" s="53" t="s">
        <v>65</v>
      </c>
      <c r="AG10" s="53" t="s">
        <v>65</v>
      </c>
      <c r="AH10" s="53" t="s">
        <v>65</v>
      </c>
      <c r="AI10" s="53" t="s">
        <v>65</v>
      </c>
      <c r="AJ10" s="53" t="s">
        <v>65</v>
      </c>
      <c r="AO10" s="59" t="s">
        <v>269</v>
      </c>
      <c r="AP10" s="53" t="s">
        <v>66</v>
      </c>
      <c r="AQ10" s="53" t="s">
        <v>66</v>
      </c>
      <c r="AR10" s="53" t="s">
        <v>66</v>
      </c>
      <c r="AS10" s="53" t="s">
        <v>66</v>
      </c>
      <c r="AT10" s="53" t="s">
        <v>66</v>
      </c>
      <c r="AY10" s="59" t="s">
        <v>269</v>
      </c>
      <c r="AZ10" s="53" t="s">
        <v>275</v>
      </c>
      <c r="BA10" s="53" t="s">
        <v>275</v>
      </c>
      <c r="BB10" s="53" t="s">
        <v>275</v>
      </c>
      <c r="BC10" s="53" t="s">
        <v>275</v>
      </c>
      <c r="BD10" s="53" t="s">
        <v>275</v>
      </c>
      <c r="BE10" s="53" t="s">
        <v>275</v>
      </c>
      <c r="BF10" s="53" t="s">
        <v>275</v>
      </c>
      <c r="BG10" s="53" t="s">
        <v>275</v>
      </c>
      <c r="BH10" s="53" t="s">
        <v>275</v>
      </c>
      <c r="BI10" s="53" t="s">
        <v>275</v>
      </c>
    </row>
    <row r="11" spans="5:6" ht="12.75">
      <c r="E11" s="54" t="s">
        <v>105</v>
      </c>
      <c r="F11" s="54"/>
    </row>
    <row r="12" spans="1:28" ht="13.5" thickBot="1">
      <c r="A12" s="62" t="s">
        <v>1</v>
      </c>
      <c r="B12" s="62" t="s">
        <v>2</v>
      </c>
      <c r="C12" s="62" t="s">
        <v>3</v>
      </c>
      <c r="D12" s="62" t="s">
        <v>4</v>
      </c>
      <c r="E12" s="54" t="s">
        <v>106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57" ht="13.5" thickTop="1">
      <c r="A13" s="53" t="s">
        <v>8</v>
      </c>
      <c r="B13" s="53" t="s">
        <v>9</v>
      </c>
      <c r="C13" s="53" t="s">
        <v>10</v>
      </c>
      <c r="D13" s="53" t="s">
        <v>276</v>
      </c>
      <c r="E13" s="53">
        <v>4</v>
      </c>
      <c r="Q13" s="53">
        <v>1</v>
      </c>
      <c r="S13" s="53">
        <v>1</v>
      </c>
      <c r="T13" s="53">
        <v>1</v>
      </c>
      <c r="X13" s="53">
        <v>1</v>
      </c>
      <c r="Y13" s="53">
        <v>6</v>
      </c>
      <c r="Z13" s="53">
        <v>2</v>
      </c>
      <c r="AA13" s="53">
        <v>7</v>
      </c>
      <c r="AI13" s="53">
        <v>1</v>
      </c>
      <c r="AZ13" s="53">
        <v>5</v>
      </c>
      <c r="BA13" s="53">
        <v>11</v>
      </c>
      <c r="BB13" s="53">
        <v>4</v>
      </c>
      <c r="BC13" s="53">
        <v>8</v>
      </c>
      <c r="BD13" s="53">
        <v>15</v>
      </c>
      <c r="BE13" s="53">
        <v>1</v>
      </c>
    </row>
    <row r="14" spans="4:52" ht="12.75">
      <c r="D14" s="53" t="s">
        <v>532</v>
      </c>
      <c r="E14" s="53">
        <v>4</v>
      </c>
      <c r="H14" s="53">
        <v>2</v>
      </c>
      <c r="J14" s="53">
        <v>1</v>
      </c>
      <c r="K14" s="53">
        <v>1</v>
      </c>
      <c r="P14" s="53">
        <v>1</v>
      </c>
      <c r="Q14" s="53">
        <v>1</v>
      </c>
      <c r="S14" s="53">
        <v>1</v>
      </c>
      <c r="Y14" s="53">
        <v>1</v>
      </c>
      <c r="AZ14" s="53">
        <v>1</v>
      </c>
    </row>
    <row r="15" spans="4:61" ht="12.75">
      <c r="D15" s="53" t="s">
        <v>203</v>
      </c>
      <c r="E15" s="53">
        <v>2</v>
      </c>
      <c r="BI15" s="53">
        <v>1</v>
      </c>
    </row>
    <row r="16" spans="3:56" ht="12.75">
      <c r="C16" s="53" t="s">
        <v>11</v>
      </c>
      <c r="D16" s="53" t="s">
        <v>518</v>
      </c>
      <c r="E16" s="53">
        <v>1</v>
      </c>
      <c r="H16" s="53">
        <v>25</v>
      </c>
      <c r="I16" s="53">
        <v>11</v>
      </c>
      <c r="J16" s="53">
        <v>21</v>
      </c>
      <c r="K16" s="53">
        <v>5</v>
      </c>
      <c r="L16" s="53">
        <v>21</v>
      </c>
      <c r="P16" s="53">
        <v>118</v>
      </c>
      <c r="Q16" s="53">
        <v>107</v>
      </c>
      <c r="R16" s="53">
        <v>30</v>
      </c>
      <c r="S16" s="53">
        <v>116</v>
      </c>
      <c r="T16" s="53">
        <v>80</v>
      </c>
      <c r="X16" s="53">
        <v>64</v>
      </c>
      <c r="Y16" s="53">
        <v>50</v>
      </c>
      <c r="Z16" s="53">
        <v>35</v>
      </c>
      <c r="AA16" s="53">
        <v>27</v>
      </c>
      <c r="AB16" s="53">
        <v>3</v>
      </c>
      <c r="AF16" s="53">
        <v>6</v>
      </c>
      <c r="AG16" s="53">
        <v>5</v>
      </c>
      <c r="AH16" s="53">
        <v>5</v>
      </c>
      <c r="AI16" s="53">
        <v>6</v>
      </c>
      <c r="AJ16" s="53">
        <v>2</v>
      </c>
      <c r="AP16" s="53">
        <v>40</v>
      </c>
      <c r="AQ16" s="53">
        <v>7</v>
      </c>
      <c r="AR16" s="53">
        <v>2</v>
      </c>
      <c r="AS16" s="53">
        <v>8</v>
      </c>
      <c r="AZ16" s="53">
        <v>16</v>
      </c>
      <c r="BA16" s="53">
        <v>15</v>
      </c>
      <c r="BB16" s="53">
        <v>12</v>
      </c>
      <c r="BC16" s="53">
        <v>4</v>
      </c>
      <c r="BD16" s="53">
        <v>6</v>
      </c>
    </row>
    <row r="17" spans="4:5" ht="12.75">
      <c r="D17" s="53" t="s">
        <v>112</v>
      </c>
      <c r="E17" s="53">
        <v>0</v>
      </c>
    </row>
    <row r="18" spans="4:52" ht="12.75">
      <c r="D18" s="53" t="s">
        <v>13</v>
      </c>
      <c r="E18" s="53">
        <v>0</v>
      </c>
      <c r="I18" s="53">
        <v>1</v>
      </c>
      <c r="P18" s="53">
        <v>3</v>
      </c>
      <c r="Q18" s="53">
        <v>1</v>
      </c>
      <c r="S18" s="53">
        <v>1</v>
      </c>
      <c r="T18" s="53">
        <v>1</v>
      </c>
      <c r="Y18" s="53">
        <v>1</v>
      </c>
      <c r="AB18" s="53">
        <v>1</v>
      </c>
      <c r="AH18" s="53">
        <v>1</v>
      </c>
      <c r="AQ18" s="53">
        <v>1</v>
      </c>
      <c r="AZ18" s="53">
        <v>1</v>
      </c>
    </row>
    <row r="19" spans="4:5" ht="12.75">
      <c r="D19" s="53" t="s">
        <v>127</v>
      </c>
      <c r="E19" s="53">
        <v>1</v>
      </c>
    </row>
    <row r="20" spans="4:58" ht="12.75">
      <c r="D20" s="53" t="s">
        <v>14</v>
      </c>
      <c r="E20" s="53">
        <v>3</v>
      </c>
      <c r="I20" s="53">
        <v>1</v>
      </c>
      <c r="P20" s="53">
        <v>1</v>
      </c>
      <c r="Q20" s="53">
        <v>1</v>
      </c>
      <c r="S20" s="53">
        <v>3</v>
      </c>
      <c r="X20" s="53">
        <v>5</v>
      </c>
      <c r="Y20" s="53">
        <v>1</v>
      </c>
      <c r="Z20" s="53">
        <v>1</v>
      </c>
      <c r="AA20" s="53">
        <v>2</v>
      </c>
      <c r="AB20" s="53">
        <v>5</v>
      </c>
      <c r="AR20" s="53">
        <v>1</v>
      </c>
      <c r="AZ20" s="53">
        <v>1</v>
      </c>
      <c r="BB20" s="53">
        <v>1</v>
      </c>
      <c r="BD20" s="53">
        <v>2</v>
      </c>
      <c r="BF20" s="53">
        <v>2</v>
      </c>
    </row>
    <row r="21" spans="3:5" ht="12.75">
      <c r="C21" s="53" t="s">
        <v>444</v>
      </c>
      <c r="D21" s="53" t="s">
        <v>445</v>
      </c>
      <c r="E21" s="53">
        <v>4</v>
      </c>
    </row>
    <row r="22" spans="3:60" ht="12.75">
      <c r="C22" s="53" t="s">
        <v>191</v>
      </c>
      <c r="D22" s="53" t="s">
        <v>192</v>
      </c>
      <c r="E22" s="53">
        <v>1</v>
      </c>
      <c r="H22" s="53">
        <v>21</v>
      </c>
      <c r="I22" s="53">
        <v>4</v>
      </c>
      <c r="J22" s="53">
        <v>11</v>
      </c>
      <c r="K22" s="53">
        <v>2</v>
      </c>
      <c r="P22" s="53">
        <v>76</v>
      </c>
      <c r="Q22" s="53">
        <v>27</v>
      </c>
      <c r="S22" s="53">
        <v>52</v>
      </c>
      <c r="T22" s="53">
        <v>2</v>
      </c>
      <c r="Y22" s="53">
        <v>25</v>
      </c>
      <c r="Z22" s="53">
        <v>166</v>
      </c>
      <c r="AA22" s="53">
        <v>48</v>
      </c>
      <c r="AB22" s="53">
        <v>1</v>
      </c>
      <c r="AF22" s="53">
        <v>9</v>
      </c>
      <c r="AH22" s="53">
        <v>7</v>
      </c>
      <c r="AI22" s="53">
        <v>3</v>
      </c>
      <c r="AJ22" s="53">
        <v>5</v>
      </c>
      <c r="AP22" s="53">
        <v>35</v>
      </c>
      <c r="AQ22" s="53">
        <v>12</v>
      </c>
      <c r="AR22" s="53">
        <v>4</v>
      </c>
      <c r="AS22" s="53">
        <v>1</v>
      </c>
      <c r="AZ22" s="53">
        <v>1</v>
      </c>
      <c r="BA22" s="53">
        <v>20</v>
      </c>
      <c r="BC22" s="53">
        <v>24</v>
      </c>
      <c r="BD22" s="53">
        <v>7</v>
      </c>
      <c r="BE22" s="53">
        <v>1</v>
      </c>
      <c r="BG22" s="53">
        <v>3</v>
      </c>
      <c r="BH22" s="53">
        <v>5</v>
      </c>
    </row>
    <row r="23" spans="3:61" ht="12.75">
      <c r="C23" s="53" t="s">
        <v>93</v>
      </c>
      <c r="D23" s="53" t="s">
        <v>94</v>
      </c>
      <c r="E23" s="53">
        <v>4</v>
      </c>
      <c r="H23" s="53">
        <v>10</v>
      </c>
      <c r="J23" s="53">
        <v>7</v>
      </c>
      <c r="P23" s="53">
        <v>33</v>
      </c>
      <c r="Q23" s="53">
        <v>38</v>
      </c>
      <c r="R23" s="53">
        <v>1</v>
      </c>
      <c r="S23" s="53">
        <v>61</v>
      </c>
      <c r="T23" s="53">
        <v>5</v>
      </c>
      <c r="Y23" s="53">
        <v>89</v>
      </c>
      <c r="Z23" s="53">
        <v>127</v>
      </c>
      <c r="AA23" s="53">
        <v>132</v>
      </c>
      <c r="AB23" s="53">
        <v>4</v>
      </c>
      <c r="AH23" s="53">
        <v>9</v>
      </c>
      <c r="AI23" s="53">
        <v>2</v>
      </c>
      <c r="AJ23" s="53">
        <v>6</v>
      </c>
      <c r="AP23" s="53">
        <v>15</v>
      </c>
      <c r="AQ23" s="53">
        <v>8</v>
      </c>
      <c r="AR23" s="53">
        <v>4</v>
      </c>
      <c r="AS23" s="53">
        <v>2</v>
      </c>
      <c r="AZ23" s="53">
        <v>30</v>
      </c>
      <c r="BA23" s="53">
        <v>49</v>
      </c>
      <c r="BB23" s="53">
        <v>78</v>
      </c>
      <c r="BC23" s="53">
        <v>130</v>
      </c>
      <c r="BD23" s="53">
        <v>114</v>
      </c>
      <c r="BE23" s="53">
        <v>3</v>
      </c>
      <c r="BF23" s="53">
        <v>8</v>
      </c>
      <c r="BG23" s="53">
        <v>5</v>
      </c>
      <c r="BH23" s="53">
        <v>16</v>
      </c>
      <c r="BI23" s="53">
        <v>3</v>
      </c>
    </row>
    <row r="24" spans="4:5" ht="12.75">
      <c r="D24" s="53" t="s">
        <v>375</v>
      </c>
      <c r="E24" s="53">
        <v>2</v>
      </c>
    </row>
    <row r="25" spans="4:5" ht="12.75">
      <c r="D25" s="53" t="s">
        <v>95</v>
      </c>
      <c r="E25" s="53">
        <v>0</v>
      </c>
    </row>
    <row r="26" spans="4:5" ht="12.75">
      <c r="D26" s="53" t="s">
        <v>303</v>
      </c>
      <c r="E26" s="53">
        <v>0</v>
      </c>
    </row>
    <row r="27" spans="3:5" ht="12.75">
      <c r="C27" s="53" t="s">
        <v>141</v>
      </c>
      <c r="D27" s="53" t="s">
        <v>142</v>
      </c>
      <c r="E27" s="53">
        <v>2</v>
      </c>
    </row>
    <row r="28" spans="3:60" ht="12.75">
      <c r="C28" s="53" t="s">
        <v>137</v>
      </c>
      <c r="D28" s="53" t="s">
        <v>18</v>
      </c>
      <c r="E28" s="53">
        <v>0</v>
      </c>
      <c r="Y28" s="53">
        <v>11</v>
      </c>
      <c r="Z28" s="53">
        <v>2</v>
      </c>
      <c r="AF28" s="53">
        <v>1</v>
      </c>
      <c r="AG28" s="53">
        <v>1</v>
      </c>
      <c r="AJ28" s="53">
        <v>1</v>
      </c>
      <c r="AS28" s="53">
        <v>1</v>
      </c>
      <c r="AZ28" s="53">
        <v>1</v>
      </c>
      <c r="BD28" s="53">
        <v>1</v>
      </c>
      <c r="BE28" s="53">
        <v>8</v>
      </c>
      <c r="BF28" s="53">
        <v>15</v>
      </c>
      <c r="BG28" s="53">
        <v>4</v>
      </c>
      <c r="BH28" s="53">
        <v>5</v>
      </c>
    </row>
    <row r="29" spans="4:60" ht="12.75">
      <c r="D29" s="53" t="s">
        <v>21</v>
      </c>
      <c r="E29" s="53">
        <v>1</v>
      </c>
      <c r="H29" s="53">
        <v>33</v>
      </c>
      <c r="I29" s="53">
        <v>58</v>
      </c>
      <c r="J29" s="53">
        <v>15</v>
      </c>
      <c r="K29" s="53">
        <v>20</v>
      </c>
      <c r="L29" s="53">
        <v>46</v>
      </c>
      <c r="P29" s="53">
        <v>70</v>
      </c>
      <c r="Q29" s="53">
        <v>68</v>
      </c>
      <c r="R29" s="53">
        <v>44</v>
      </c>
      <c r="S29" s="53">
        <v>3</v>
      </c>
      <c r="T29" s="53">
        <v>41</v>
      </c>
      <c r="X29" s="53">
        <v>109</v>
      </c>
      <c r="Y29" s="53">
        <v>119</v>
      </c>
      <c r="Z29" s="53">
        <v>64</v>
      </c>
      <c r="AA29" s="53">
        <v>60</v>
      </c>
      <c r="AB29" s="53">
        <v>8</v>
      </c>
      <c r="AF29" s="53">
        <v>7</v>
      </c>
      <c r="AG29" s="53">
        <v>9</v>
      </c>
      <c r="AH29" s="53">
        <v>6</v>
      </c>
      <c r="AI29" s="53">
        <v>7</v>
      </c>
      <c r="AJ29" s="53">
        <v>8</v>
      </c>
      <c r="AP29" s="53">
        <v>12</v>
      </c>
      <c r="AQ29" s="53">
        <v>6</v>
      </c>
      <c r="AR29" s="53">
        <v>8</v>
      </c>
      <c r="AS29" s="53">
        <v>7</v>
      </c>
      <c r="AT29" s="53">
        <v>1</v>
      </c>
      <c r="AZ29" s="53">
        <v>14</v>
      </c>
      <c r="BA29" s="53">
        <v>26</v>
      </c>
      <c r="BB29" s="53">
        <v>21</v>
      </c>
      <c r="BC29" s="53">
        <v>13</v>
      </c>
      <c r="BD29" s="53">
        <v>6</v>
      </c>
      <c r="BE29" s="53">
        <v>4</v>
      </c>
      <c r="BF29" s="53">
        <v>13</v>
      </c>
      <c r="BG29" s="53">
        <v>20</v>
      </c>
      <c r="BH29" s="53">
        <v>9</v>
      </c>
    </row>
    <row r="30" spans="3:55" ht="12.75">
      <c r="C30" s="53" t="s">
        <v>36</v>
      </c>
      <c r="D30" s="53" t="s">
        <v>277</v>
      </c>
      <c r="E30" s="53">
        <v>1</v>
      </c>
      <c r="H30" s="53">
        <v>1</v>
      </c>
      <c r="R30" s="53">
        <v>1</v>
      </c>
      <c r="AA30" s="53">
        <v>2</v>
      </c>
      <c r="AQ30" s="53">
        <v>1</v>
      </c>
      <c r="BA30" s="53">
        <v>1</v>
      </c>
      <c r="BB30" s="53">
        <v>2</v>
      </c>
      <c r="BC30" s="53">
        <v>9</v>
      </c>
    </row>
    <row r="31" spans="4:60" ht="12.75">
      <c r="D31" s="53" t="s">
        <v>37</v>
      </c>
      <c r="E31" s="53">
        <v>1</v>
      </c>
      <c r="H31" s="53">
        <v>1</v>
      </c>
      <c r="I31" s="53">
        <v>3</v>
      </c>
      <c r="K31" s="53">
        <v>1</v>
      </c>
      <c r="P31" s="53">
        <v>8</v>
      </c>
      <c r="Q31" s="53">
        <v>2</v>
      </c>
      <c r="S31" s="53">
        <v>2</v>
      </c>
      <c r="X31" s="53">
        <v>1</v>
      </c>
      <c r="Y31" s="53">
        <v>1</v>
      </c>
      <c r="Z31" s="53">
        <v>22</v>
      </c>
      <c r="AA31" s="53">
        <v>23</v>
      </c>
      <c r="AH31" s="53">
        <v>4</v>
      </c>
      <c r="AJ31" s="53">
        <v>2</v>
      </c>
      <c r="AP31" s="53">
        <v>3</v>
      </c>
      <c r="BA31" s="53">
        <v>10</v>
      </c>
      <c r="BB31" s="53">
        <v>4</v>
      </c>
      <c r="BC31" s="53">
        <v>14</v>
      </c>
      <c r="BD31" s="53">
        <v>7</v>
      </c>
      <c r="BE31" s="53">
        <v>1</v>
      </c>
      <c r="BG31" s="53">
        <v>2</v>
      </c>
      <c r="BH31" s="53">
        <v>2</v>
      </c>
    </row>
    <row r="32" spans="3:54" ht="12.75">
      <c r="C32" s="53" t="s">
        <v>114</v>
      </c>
      <c r="D32" s="53" t="s">
        <v>115</v>
      </c>
      <c r="E32" s="53">
        <v>2</v>
      </c>
      <c r="P32" s="53">
        <v>3</v>
      </c>
      <c r="S32" s="53">
        <v>1</v>
      </c>
      <c r="T32" s="53">
        <v>1</v>
      </c>
      <c r="AA32" s="53">
        <v>1</v>
      </c>
      <c r="AH32" s="53">
        <v>1</v>
      </c>
      <c r="AZ32" s="53">
        <v>1</v>
      </c>
      <c r="BA32" s="53">
        <v>1</v>
      </c>
      <c r="BB32" s="53">
        <v>2</v>
      </c>
    </row>
    <row r="33" spans="4:56" ht="12.75">
      <c r="D33" s="53" t="s">
        <v>376</v>
      </c>
      <c r="E33" s="53">
        <v>2</v>
      </c>
      <c r="BD33" s="53">
        <v>1</v>
      </c>
    </row>
    <row r="34" spans="3:57" ht="12.75">
      <c r="C34" s="53" t="s">
        <v>116</v>
      </c>
      <c r="D34" s="53" t="s">
        <v>117</v>
      </c>
      <c r="E34" s="53">
        <v>2</v>
      </c>
      <c r="I34" s="53">
        <v>1</v>
      </c>
      <c r="J34" s="53">
        <v>2</v>
      </c>
      <c r="T34" s="53">
        <v>1</v>
      </c>
      <c r="Y34" s="53">
        <v>4</v>
      </c>
      <c r="Z34" s="53">
        <v>7</v>
      </c>
      <c r="AA34" s="53">
        <v>1</v>
      </c>
      <c r="BA34" s="53">
        <v>3</v>
      </c>
      <c r="BB34" s="53">
        <v>7</v>
      </c>
      <c r="BC34" s="53">
        <v>3</v>
      </c>
      <c r="BD34" s="53">
        <v>5</v>
      </c>
      <c r="BE34" s="53">
        <v>1</v>
      </c>
    </row>
    <row r="35" spans="3:20" ht="12.75">
      <c r="C35" s="53" t="s">
        <v>91</v>
      </c>
      <c r="D35" s="53" t="s">
        <v>120</v>
      </c>
      <c r="E35" s="53">
        <v>2</v>
      </c>
      <c r="H35" s="53">
        <v>1</v>
      </c>
      <c r="P35" s="53">
        <v>4</v>
      </c>
      <c r="Q35" s="53">
        <v>4</v>
      </c>
      <c r="R35" s="53">
        <v>1</v>
      </c>
      <c r="S35" s="53">
        <v>2</v>
      </c>
      <c r="T35" s="53">
        <v>1</v>
      </c>
    </row>
    <row r="36" spans="4:56" ht="12.75">
      <c r="D36" s="53" t="s">
        <v>533</v>
      </c>
      <c r="E36" s="53">
        <v>2</v>
      </c>
      <c r="Y36" s="53">
        <v>1</v>
      </c>
      <c r="AH36" s="53">
        <v>1</v>
      </c>
      <c r="BA36" s="53">
        <v>1</v>
      </c>
      <c r="BD36" s="53">
        <v>1</v>
      </c>
    </row>
    <row r="37" spans="4:5" ht="12.75">
      <c r="D37" s="53" t="s">
        <v>377</v>
      </c>
      <c r="E37" s="53">
        <v>2</v>
      </c>
    </row>
    <row r="38" spans="4:44" ht="12.75">
      <c r="D38" s="53" t="s">
        <v>92</v>
      </c>
      <c r="E38" s="53">
        <v>2</v>
      </c>
      <c r="H38" s="53">
        <v>1</v>
      </c>
      <c r="I38" s="53">
        <v>1</v>
      </c>
      <c r="J38" s="53">
        <v>1</v>
      </c>
      <c r="P38" s="53">
        <v>7</v>
      </c>
      <c r="Q38" s="53">
        <v>2</v>
      </c>
      <c r="Y38" s="53">
        <v>3</v>
      </c>
      <c r="Z38" s="53">
        <v>1</v>
      </c>
      <c r="AA38" s="53">
        <v>4</v>
      </c>
      <c r="AF38" s="53">
        <v>1</v>
      </c>
      <c r="AH38" s="53">
        <v>1</v>
      </c>
      <c r="AJ38" s="53">
        <v>1</v>
      </c>
      <c r="AP38" s="53">
        <v>2</v>
      </c>
      <c r="AQ38" s="53">
        <v>1</v>
      </c>
      <c r="AR38" s="53">
        <v>1</v>
      </c>
    </row>
    <row r="39" spans="4:5" ht="12.75">
      <c r="D39" s="53" t="s">
        <v>525</v>
      </c>
      <c r="E39" s="53">
        <v>2</v>
      </c>
    </row>
    <row r="40" spans="4:5" ht="12.75">
      <c r="D40" s="53" t="s">
        <v>531</v>
      </c>
      <c r="E40" s="53">
        <v>2</v>
      </c>
    </row>
    <row r="41" spans="3:5" ht="12.75">
      <c r="C41" s="53" t="s">
        <v>118</v>
      </c>
      <c r="D41" s="53" t="s">
        <v>119</v>
      </c>
      <c r="E41" s="53">
        <v>1</v>
      </c>
    </row>
    <row r="42" spans="4:53" ht="12.75">
      <c r="D42" s="53" t="s">
        <v>307</v>
      </c>
      <c r="E42" s="53">
        <v>1</v>
      </c>
      <c r="BA42" s="53">
        <v>1</v>
      </c>
    </row>
    <row r="43" spans="3:5" ht="12.75">
      <c r="C43" s="53" t="s">
        <v>284</v>
      </c>
      <c r="D43" s="53" t="s">
        <v>285</v>
      </c>
      <c r="E43" s="53">
        <v>0</v>
      </c>
    </row>
    <row r="44" spans="2:55" ht="12.75">
      <c r="B44" s="53" t="s">
        <v>22</v>
      </c>
      <c r="C44" s="53" t="s">
        <v>89</v>
      </c>
      <c r="D44" s="53" t="s">
        <v>90</v>
      </c>
      <c r="E44" s="53">
        <v>0</v>
      </c>
      <c r="H44" s="53">
        <v>1</v>
      </c>
      <c r="I44" s="53">
        <v>1</v>
      </c>
      <c r="J44" s="53">
        <v>1</v>
      </c>
      <c r="Q44" s="53">
        <v>2</v>
      </c>
      <c r="S44" s="53">
        <v>3</v>
      </c>
      <c r="T44" s="53">
        <v>1</v>
      </c>
      <c r="AA44" s="53">
        <v>2</v>
      </c>
      <c r="AG44" s="53">
        <v>1</v>
      </c>
      <c r="AH44" s="53">
        <v>1</v>
      </c>
      <c r="AJ44" s="53">
        <v>1</v>
      </c>
      <c r="AP44" s="53">
        <v>1</v>
      </c>
      <c r="AR44" s="53">
        <v>1</v>
      </c>
      <c r="BB44" s="53">
        <v>1</v>
      </c>
      <c r="BC44" s="53">
        <v>2</v>
      </c>
    </row>
    <row r="45" spans="4:36" ht="12.75">
      <c r="D45" s="53" t="s">
        <v>211</v>
      </c>
      <c r="E45" s="53">
        <v>0</v>
      </c>
      <c r="J45" s="53">
        <v>1</v>
      </c>
      <c r="AH45" s="53">
        <v>1</v>
      </c>
      <c r="AI45" s="53">
        <v>1</v>
      </c>
      <c r="AJ45" s="53">
        <v>1</v>
      </c>
    </row>
    <row r="46" spans="4:27" ht="12.75">
      <c r="D46" s="53" t="s">
        <v>133</v>
      </c>
      <c r="E46" s="53">
        <v>0</v>
      </c>
      <c r="Q46" s="53">
        <v>1</v>
      </c>
      <c r="AA46" s="53">
        <v>1</v>
      </c>
    </row>
    <row r="47" spans="4:57" ht="12.75">
      <c r="D47" s="53" t="s">
        <v>128</v>
      </c>
      <c r="E47" s="53">
        <v>0</v>
      </c>
      <c r="BE47" s="53">
        <v>1</v>
      </c>
    </row>
    <row r="48" spans="4:5" ht="12.75">
      <c r="D48" s="53" t="s">
        <v>134</v>
      </c>
      <c r="E48" s="53">
        <v>0</v>
      </c>
    </row>
    <row r="49" spans="3:17" ht="12.75">
      <c r="C49" s="53" t="s">
        <v>212</v>
      </c>
      <c r="D49" s="53" t="s">
        <v>213</v>
      </c>
      <c r="E49" s="53">
        <v>4</v>
      </c>
      <c r="Q49" s="53">
        <v>2</v>
      </c>
    </row>
    <row r="50" spans="4:56" ht="12.75">
      <c r="D50" s="53" t="s">
        <v>278</v>
      </c>
      <c r="E50" s="53">
        <v>4</v>
      </c>
      <c r="P50" s="53">
        <v>1</v>
      </c>
      <c r="AH50" s="53">
        <v>2</v>
      </c>
      <c r="AI50" s="53">
        <v>1</v>
      </c>
      <c r="AQ50" s="53">
        <v>2</v>
      </c>
      <c r="BC50" s="53">
        <v>1</v>
      </c>
      <c r="BD50" s="53">
        <v>1</v>
      </c>
    </row>
    <row r="51" spans="3:5" ht="12.75">
      <c r="C51" s="53" t="s">
        <v>286</v>
      </c>
      <c r="D51" s="53" t="s">
        <v>287</v>
      </c>
      <c r="E51" s="53">
        <v>4</v>
      </c>
    </row>
    <row r="52" spans="4:10" ht="12.75">
      <c r="D52" s="53" t="s">
        <v>528</v>
      </c>
      <c r="E52" s="53">
        <v>2</v>
      </c>
      <c r="J52" s="53">
        <v>1</v>
      </c>
    </row>
    <row r="53" spans="3:33" ht="12.75">
      <c r="C53" s="53" t="s">
        <v>315</v>
      </c>
      <c r="D53" s="53" t="s">
        <v>316</v>
      </c>
      <c r="E53" s="53">
        <v>2</v>
      </c>
      <c r="AG53" s="53">
        <v>1</v>
      </c>
    </row>
    <row r="54" spans="4:5" ht="12.75">
      <c r="D54" s="53" t="s">
        <v>527</v>
      </c>
      <c r="E54" s="53">
        <v>1</v>
      </c>
    </row>
    <row r="55" spans="3:5" ht="12.75">
      <c r="C55" s="53" t="s">
        <v>214</v>
      </c>
      <c r="D55" s="53" t="s">
        <v>215</v>
      </c>
      <c r="E55" s="53">
        <v>2</v>
      </c>
    </row>
    <row r="56" spans="4:5" ht="12.75">
      <c r="D56" s="53" t="s">
        <v>302</v>
      </c>
      <c r="E56" s="53">
        <v>2</v>
      </c>
    </row>
    <row r="57" spans="3:61" ht="12.75">
      <c r="C57" s="53" t="s">
        <v>172</v>
      </c>
      <c r="D57" s="53" t="s">
        <v>173</v>
      </c>
      <c r="E57" s="53">
        <v>6</v>
      </c>
      <c r="I57" s="53">
        <v>1</v>
      </c>
      <c r="J57" s="53">
        <v>1</v>
      </c>
      <c r="AF57" s="53">
        <v>4</v>
      </c>
      <c r="AG57" s="53">
        <v>2</v>
      </c>
      <c r="AJ57" s="53">
        <v>1</v>
      </c>
      <c r="AP57" s="53">
        <v>2</v>
      </c>
      <c r="AR57" s="53">
        <v>2</v>
      </c>
      <c r="AS57" s="53">
        <v>3</v>
      </c>
      <c r="AT57" s="53">
        <v>3</v>
      </c>
      <c r="BF57" s="53">
        <v>2</v>
      </c>
      <c r="BG57" s="53">
        <v>1</v>
      </c>
      <c r="BI57" s="53">
        <v>2</v>
      </c>
    </row>
    <row r="58" spans="3:57" ht="12.75">
      <c r="C58" s="53" t="s">
        <v>204</v>
      </c>
      <c r="D58" s="53" t="s">
        <v>205</v>
      </c>
      <c r="E58" s="53">
        <v>0</v>
      </c>
      <c r="BE58" s="53">
        <v>1</v>
      </c>
    </row>
    <row r="59" spans="3:45" ht="12.75">
      <c r="C59" s="53" t="s">
        <v>23</v>
      </c>
      <c r="D59" s="53" t="s">
        <v>24</v>
      </c>
      <c r="E59" s="53">
        <v>1</v>
      </c>
      <c r="R59" s="53">
        <v>1</v>
      </c>
      <c r="S59" s="53">
        <v>1</v>
      </c>
      <c r="T59" s="53">
        <v>2</v>
      </c>
      <c r="X59" s="53">
        <v>1</v>
      </c>
      <c r="Y59" s="53">
        <v>1</v>
      </c>
      <c r="AF59" s="53">
        <v>1</v>
      </c>
      <c r="AG59" s="53">
        <v>4</v>
      </c>
      <c r="AH59" s="53">
        <v>1</v>
      </c>
      <c r="AI59" s="53">
        <v>3</v>
      </c>
      <c r="AJ59" s="53">
        <v>1</v>
      </c>
      <c r="AP59" s="53">
        <v>2</v>
      </c>
      <c r="AS59" s="53">
        <v>2</v>
      </c>
    </row>
    <row r="60" spans="4:61" ht="12.75">
      <c r="D60" s="53" t="s">
        <v>174</v>
      </c>
      <c r="E60" s="53">
        <v>1</v>
      </c>
      <c r="H60" s="53">
        <v>7</v>
      </c>
      <c r="I60" s="53">
        <v>7</v>
      </c>
      <c r="J60" s="53">
        <v>2</v>
      </c>
      <c r="K60" s="53">
        <v>1</v>
      </c>
      <c r="P60" s="53">
        <v>5</v>
      </c>
      <c r="Q60" s="53">
        <v>3</v>
      </c>
      <c r="R60" s="53">
        <v>2</v>
      </c>
      <c r="S60" s="53">
        <v>3</v>
      </c>
      <c r="T60" s="53">
        <v>7</v>
      </c>
      <c r="X60" s="53">
        <v>7</v>
      </c>
      <c r="Y60" s="53">
        <v>7</v>
      </c>
      <c r="Z60" s="53">
        <v>17</v>
      </c>
      <c r="AA60" s="53">
        <v>19</v>
      </c>
      <c r="AB60" s="53">
        <v>6</v>
      </c>
      <c r="AF60" s="53">
        <v>4</v>
      </c>
      <c r="AG60" s="53">
        <v>4</v>
      </c>
      <c r="AH60" s="53">
        <v>8</v>
      </c>
      <c r="AI60" s="53">
        <v>9</v>
      </c>
      <c r="AJ60" s="53">
        <v>2</v>
      </c>
      <c r="AP60" s="53">
        <v>2</v>
      </c>
      <c r="AQ60" s="53">
        <v>4</v>
      </c>
      <c r="AS60" s="53">
        <v>4</v>
      </c>
      <c r="AT60" s="53">
        <v>1</v>
      </c>
      <c r="AZ60" s="53">
        <v>2</v>
      </c>
      <c r="BA60" s="53">
        <v>7</v>
      </c>
      <c r="BB60" s="53">
        <v>11</v>
      </c>
      <c r="BC60" s="53">
        <v>10</v>
      </c>
      <c r="BD60" s="53">
        <v>11</v>
      </c>
      <c r="BE60" s="53">
        <v>1</v>
      </c>
      <c r="BF60" s="53">
        <v>16</v>
      </c>
      <c r="BG60" s="53">
        <v>1</v>
      </c>
      <c r="BH60" s="53">
        <v>9</v>
      </c>
      <c r="BI60" s="53">
        <v>1</v>
      </c>
    </row>
    <row r="61" spans="4:5" ht="12.75">
      <c r="D61" s="53" t="s">
        <v>294</v>
      </c>
      <c r="E61" s="53">
        <v>1</v>
      </c>
    </row>
    <row r="62" spans="3:56" ht="12.75">
      <c r="C62" s="53" t="s">
        <v>25</v>
      </c>
      <c r="D62" s="53" t="s">
        <v>28</v>
      </c>
      <c r="E62" s="53">
        <v>1</v>
      </c>
      <c r="I62" s="53">
        <v>2</v>
      </c>
      <c r="J62" s="53">
        <v>7</v>
      </c>
      <c r="L62" s="53">
        <v>2</v>
      </c>
      <c r="P62" s="53">
        <v>6</v>
      </c>
      <c r="Q62" s="53">
        <v>2</v>
      </c>
      <c r="S62" s="53">
        <v>6</v>
      </c>
      <c r="T62" s="53">
        <v>2</v>
      </c>
      <c r="X62" s="53">
        <v>3</v>
      </c>
      <c r="Y62" s="53">
        <v>7</v>
      </c>
      <c r="Z62" s="53">
        <v>2</v>
      </c>
      <c r="AA62" s="53">
        <v>1</v>
      </c>
      <c r="AB62" s="53">
        <v>1</v>
      </c>
      <c r="AH62" s="53">
        <v>1</v>
      </c>
      <c r="AJ62" s="53">
        <v>1</v>
      </c>
      <c r="AP62" s="53">
        <v>1</v>
      </c>
      <c r="AR62" s="53">
        <v>5</v>
      </c>
      <c r="AS62" s="53">
        <v>2</v>
      </c>
      <c r="AZ62" s="53">
        <v>3</v>
      </c>
      <c r="BA62" s="53">
        <v>1</v>
      </c>
      <c r="BB62" s="53">
        <v>1</v>
      </c>
      <c r="BC62" s="53">
        <v>1</v>
      </c>
      <c r="BD62" s="53">
        <v>2</v>
      </c>
    </row>
    <row r="63" spans="4:5" ht="12.75">
      <c r="D63" s="53" t="s">
        <v>29</v>
      </c>
      <c r="E63" s="53">
        <v>0</v>
      </c>
    </row>
    <row r="64" spans="3:60" ht="12.75">
      <c r="C64" s="53" t="s">
        <v>26</v>
      </c>
      <c r="D64" s="53" t="s">
        <v>27</v>
      </c>
      <c r="E64" s="53">
        <v>3</v>
      </c>
      <c r="X64" s="53">
        <v>4</v>
      </c>
      <c r="Z64" s="53">
        <v>1</v>
      </c>
      <c r="AA64" s="53">
        <v>2</v>
      </c>
      <c r="BF64" s="53">
        <v>3</v>
      </c>
      <c r="BH64" s="53">
        <v>1</v>
      </c>
    </row>
    <row r="65" spans="3:55" ht="12.75">
      <c r="C65" s="63" t="s">
        <v>87</v>
      </c>
      <c r="D65" s="53" t="s">
        <v>88</v>
      </c>
      <c r="E65" s="53">
        <v>0</v>
      </c>
      <c r="H65" s="53">
        <v>8</v>
      </c>
      <c r="I65" s="53">
        <v>2</v>
      </c>
      <c r="J65" s="53">
        <v>4</v>
      </c>
      <c r="K65" s="53">
        <v>1</v>
      </c>
      <c r="L65" s="53">
        <v>1</v>
      </c>
      <c r="P65" s="53">
        <v>4</v>
      </c>
      <c r="Q65" s="53">
        <v>3</v>
      </c>
      <c r="S65" s="53">
        <v>45</v>
      </c>
      <c r="T65" s="53">
        <v>7</v>
      </c>
      <c r="AA65" s="53">
        <v>2</v>
      </c>
      <c r="AF65" s="53">
        <v>1</v>
      </c>
      <c r="AH65" s="53">
        <v>1</v>
      </c>
      <c r="AI65" s="53">
        <v>2</v>
      </c>
      <c r="AJ65" s="53">
        <v>4</v>
      </c>
      <c r="AP65" s="53">
        <v>2</v>
      </c>
      <c r="AQ65" s="53">
        <v>2</v>
      </c>
      <c r="AR65" s="53">
        <v>3</v>
      </c>
      <c r="BC65" s="53">
        <v>1</v>
      </c>
    </row>
    <row r="66" spans="2:5" ht="12.75">
      <c r="B66" s="53" t="s">
        <v>521</v>
      </c>
      <c r="C66" s="63" t="s">
        <v>522</v>
      </c>
      <c r="D66" s="53" t="s">
        <v>523</v>
      </c>
      <c r="E66" s="53">
        <v>4</v>
      </c>
    </row>
    <row r="67" spans="2:61" ht="12.75">
      <c r="B67" s="53" t="s">
        <v>38</v>
      </c>
      <c r="C67" s="63" t="s">
        <v>39</v>
      </c>
      <c r="D67" s="53" t="s">
        <v>40</v>
      </c>
      <c r="E67" s="53">
        <v>4</v>
      </c>
      <c r="H67" s="53">
        <v>163</v>
      </c>
      <c r="I67" s="53">
        <v>188</v>
      </c>
      <c r="J67" s="53">
        <v>145</v>
      </c>
      <c r="K67" s="53">
        <v>141</v>
      </c>
      <c r="L67" s="53">
        <v>104</v>
      </c>
      <c r="P67" s="53">
        <v>217</v>
      </c>
      <c r="Q67" s="53">
        <v>258</v>
      </c>
      <c r="R67" s="53">
        <v>81</v>
      </c>
      <c r="S67" s="53">
        <v>98</v>
      </c>
      <c r="T67" s="53">
        <v>139</v>
      </c>
      <c r="X67" s="53">
        <v>28</v>
      </c>
      <c r="Y67" s="53">
        <v>14</v>
      </c>
      <c r="Z67" s="53">
        <v>61</v>
      </c>
      <c r="AA67" s="53">
        <v>14</v>
      </c>
      <c r="AB67" s="53">
        <v>6</v>
      </c>
      <c r="AF67" s="53">
        <v>114</v>
      </c>
      <c r="AG67" s="53">
        <v>66</v>
      </c>
      <c r="AH67" s="53">
        <v>44</v>
      </c>
      <c r="AI67" s="53">
        <v>67</v>
      </c>
      <c r="AJ67" s="53">
        <v>58</v>
      </c>
      <c r="AP67" s="53">
        <v>42</v>
      </c>
      <c r="AQ67" s="53">
        <v>153</v>
      </c>
      <c r="AR67" s="53">
        <v>210</v>
      </c>
      <c r="AS67" s="53">
        <v>91</v>
      </c>
      <c r="AT67" s="53">
        <v>31</v>
      </c>
      <c r="AZ67" s="53">
        <v>12</v>
      </c>
      <c r="BA67" s="53">
        <v>10</v>
      </c>
      <c r="BB67" s="53">
        <v>5</v>
      </c>
      <c r="BC67" s="53">
        <v>5</v>
      </c>
      <c r="BD67" s="53">
        <v>12</v>
      </c>
      <c r="BF67" s="53">
        <v>48</v>
      </c>
      <c r="BG67" s="53">
        <v>9</v>
      </c>
      <c r="BH67" s="53">
        <v>6</v>
      </c>
      <c r="BI67" s="53">
        <v>1</v>
      </c>
    </row>
    <row r="68" spans="3:19" ht="12.75">
      <c r="C68" s="63"/>
      <c r="D68" s="53" t="s">
        <v>80</v>
      </c>
      <c r="E68" s="53">
        <v>4</v>
      </c>
      <c r="S68" s="53">
        <v>2</v>
      </c>
    </row>
    <row r="69" spans="3:54" ht="12.75">
      <c r="C69" s="63"/>
      <c r="D69" s="53" t="s">
        <v>175</v>
      </c>
      <c r="E69" s="53">
        <v>4</v>
      </c>
      <c r="BB69" s="53">
        <v>1</v>
      </c>
    </row>
    <row r="70" spans="3:5" ht="12.75">
      <c r="C70" s="63"/>
      <c r="D70" s="53" t="s">
        <v>447</v>
      </c>
      <c r="E70" s="53">
        <v>4</v>
      </c>
    </row>
    <row r="71" spans="3:18" ht="12.75">
      <c r="C71" s="63"/>
      <c r="D71" s="53" t="s">
        <v>537</v>
      </c>
      <c r="E71" s="53">
        <v>4</v>
      </c>
      <c r="R71" s="53">
        <v>1</v>
      </c>
    </row>
    <row r="72" spans="3:5" ht="12.75">
      <c r="C72" s="63"/>
      <c r="D72" s="53" t="s">
        <v>526</v>
      </c>
      <c r="E72" s="53">
        <v>4</v>
      </c>
    </row>
    <row r="73" spans="3:5" ht="12.75">
      <c r="C73" s="63" t="s">
        <v>110</v>
      </c>
      <c r="D73" s="53" t="s">
        <v>111</v>
      </c>
      <c r="E73" s="53">
        <v>5</v>
      </c>
    </row>
    <row r="74" spans="3:5" ht="12.75">
      <c r="C74" s="63" t="s">
        <v>176</v>
      </c>
      <c r="D74" s="53" t="s">
        <v>177</v>
      </c>
      <c r="E74" s="53">
        <v>5</v>
      </c>
    </row>
    <row r="75" spans="2:61" ht="12.75">
      <c r="B75" s="53" t="s">
        <v>169</v>
      </c>
      <c r="C75" s="63" t="s">
        <v>170</v>
      </c>
      <c r="D75" s="53" t="s">
        <v>171</v>
      </c>
      <c r="E75" s="53">
        <v>4</v>
      </c>
      <c r="BE75" s="53">
        <v>1</v>
      </c>
      <c r="BF75" s="53">
        <v>1</v>
      </c>
      <c r="BG75" s="53">
        <v>1</v>
      </c>
      <c r="BH75" s="53">
        <v>1</v>
      </c>
      <c r="BI75" s="53">
        <v>7</v>
      </c>
    </row>
    <row r="76" spans="2:55" ht="12.75">
      <c r="B76" s="53" t="s">
        <v>30</v>
      </c>
      <c r="C76" s="53" t="s">
        <v>31</v>
      </c>
      <c r="D76" s="53" t="s">
        <v>96</v>
      </c>
      <c r="E76" s="53">
        <v>3</v>
      </c>
      <c r="AA76" s="53">
        <v>1</v>
      </c>
      <c r="AH76" s="53">
        <v>1</v>
      </c>
      <c r="BA76" s="53">
        <v>4</v>
      </c>
      <c r="BB76" s="53">
        <v>1</v>
      </c>
      <c r="BC76" s="53">
        <v>1</v>
      </c>
    </row>
    <row r="77" spans="4:17" ht="12.75">
      <c r="D77" s="53" t="s">
        <v>295</v>
      </c>
      <c r="E77" s="53">
        <v>3</v>
      </c>
      <c r="Q77" s="53">
        <v>1</v>
      </c>
    </row>
    <row r="78" spans="4:45" ht="12.75">
      <c r="D78" s="53" t="s">
        <v>35</v>
      </c>
      <c r="E78" s="53">
        <v>1</v>
      </c>
      <c r="I78" s="53">
        <v>1</v>
      </c>
      <c r="T78" s="53">
        <v>1</v>
      </c>
      <c r="Z78" s="53">
        <v>1</v>
      </c>
      <c r="AG78" s="53">
        <v>1</v>
      </c>
      <c r="AI78" s="53">
        <v>1</v>
      </c>
      <c r="AQ78" s="53">
        <v>1</v>
      </c>
      <c r="AR78" s="53">
        <v>1</v>
      </c>
      <c r="AS78" s="53">
        <v>1</v>
      </c>
    </row>
    <row r="79" spans="4:61" ht="12.75">
      <c r="D79" s="53" t="s">
        <v>32</v>
      </c>
      <c r="E79" s="53">
        <v>2</v>
      </c>
      <c r="H79" s="53">
        <v>1</v>
      </c>
      <c r="I79" s="53">
        <v>3</v>
      </c>
      <c r="J79" s="53">
        <v>2</v>
      </c>
      <c r="K79" s="53">
        <v>2</v>
      </c>
      <c r="Q79" s="53">
        <v>4</v>
      </c>
      <c r="R79" s="53">
        <v>1</v>
      </c>
      <c r="T79" s="53">
        <v>1</v>
      </c>
      <c r="X79" s="53">
        <v>2</v>
      </c>
      <c r="Y79" s="53">
        <v>2</v>
      </c>
      <c r="Z79" s="53">
        <v>1</v>
      </c>
      <c r="AA79" s="53">
        <v>3</v>
      </c>
      <c r="AB79" s="53">
        <v>1</v>
      </c>
      <c r="AF79" s="53">
        <v>2</v>
      </c>
      <c r="AG79" s="53">
        <v>1</v>
      </c>
      <c r="AH79" s="53">
        <v>2</v>
      </c>
      <c r="AI79" s="53">
        <v>1</v>
      </c>
      <c r="AJ79" s="53">
        <v>2</v>
      </c>
      <c r="AP79" s="53">
        <v>1</v>
      </c>
      <c r="AQ79" s="53">
        <v>1</v>
      </c>
      <c r="AR79" s="53">
        <v>5</v>
      </c>
      <c r="AZ79" s="53">
        <v>2</v>
      </c>
      <c r="BA79" s="53">
        <v>2</v>
      </c>
      <c r="BB79" s="53">
        <v>1</v>
      </c>
      <c r="BD79" s="53">
        <v>1</v>
      </c>
      <c r="BF79" s="53">
        <v>1</v>
      </c>
      <c r="BH79" s="53">
        <v>1</v>
      </c>
      <c r="BI79" s="53">
        <v>1</v>
      </c>
    </row>
    <row r="80" spans="4:59" ht="12.75">
      <c r="D80" s="53" t="s">
        <v>288</v>
      </c>
      <c r="E80" s="53">
        <v>3</v>
      </c>
      <c r="X80" s="53">
        <v>3</v>
      </c>
      <c r="Z80" s="53">
        <v>1</v>
      </c>
      <c r="AA80" s="53">
        <v>1</v>
      </c>
      <c r="AB80" s="53">
        <v>2</v>
      </c>
      <c r="AR80" s="53">
        <v>2</v>
      </c>
      <c r="AS80" s="53">
        <v>1</v>
      </c>
      <c r="AT80" s="53">
        <v>1</v>
      </c>
      <c r="AZ80" s="53">
        <v>2</v>
      </c>
      <c r="BA80" s="53">
        <v>2</v>
      </c>
      <c r="BB80" s="53">
        <v>1</v>
      </c>
      <c r="BE80" s="53">
        <v>1</v>
      </c>
      <c r="BG80" s="53">
        <v>1</v>
      </c>
    </row>
    <row r="81" spans="4:5" ht="12.75">
      <c r="D81" s="53" t="s">
        <v>308</v>
      </c>
      <c r="E81" s="53">
        <v>3</v>
      </c>
    </row>
    <row r="82" spans="4:33" ht="12.75">
      <c r="D82" s="53" t="s">
        <v>489</v>
      </c>
      <c r="E82" s="53">
        <v>4</v>
      </c>
      <c r="AG82" s="53">
        <v>1</v>
      </c>
    </row>
    <row r="83" spans="3:5" ht="12.75">
      <c r="C83" s="53" t="s">
        <v>97</v>
      </c>
      <c r="D83" s="53" t="s">
        <v>98</v>
      </c>
      <c r="E83" s="53">
        <v>4</v>
      </c>
    </row>
    <row r="84" spans="3:5" ht="12.75">
      <c r="C84" s="53" t="s">
        <v>449</v>
      </c>
      <c r="D84" s="53" t="s">
        <v>450</v>
      </c>
      <c r="E84" s="53">
        <v>2</v>
      </c>
    </row>
    <row r="85" spans="3:61" ht="12.75">
      <c r="C85" s="53" t="s">
        <v>385</v>
      </c>
      <c r="D85" s="53" t="s">
        <v>386</v>
      </c>
      <c r="E85" s="53">
        <v>7</v>
      </c>
      <c r="BI85" s="53">
        <v>1</v>
      </c>
    </row>
    <row r="86" spans="3:46" ht="12.75">
      <c r="C86" s="53" t="s">
        <v>81</v>
      </c>
      <c r="D86" s="53" t="s">
        <v>442</v>
      </c>
      <c r="E86" s="53">
        <v>6</v>
      </c>
      <c r="K86" s="53">
        <v>1</v>
      </c>
      <c r="P86" s="53">
        <v>3</v>
      </c>
      <c r="R86" s="53">
        <v>1</v>
      </c>
      <c r="T86" s="53">
        <v>3</v>
      </c>
      <c r="X86" s="53">
        <v>3</v>
      </c>
      <c r="AG86" s="53">
        <v>1</v>
      </c>
      <c r="AI86" s="53">
        <v>2</v>
      </c>
      <c r="AP86" s="53">
        <v>3</v>
      </c>
      <c r="AS86" s="53">
        <v>5</v>
      </c>
      <c r="AT86" s="53">
        <v>1</v>
      </c>
    </row>
    <row r="87" spans="4:34" ht="12.75">
      <c r="D87" s="53" t="s">
        <v>443</v>
      </c>
      <c r="E87" s="53">
        <v>6</v>
      </c>
      <c r="AH87" s="53">
        <v>1</v>
      </c>
    </row>
    <row r="88" spans="3:5" ht="12.75">
      <c r="C88" s="53" t="s">
        <v>304</v>
      </c>
      <c r="D88" s="53" t="s">
        <v>305</v>
      </c>
      <c r="E88" s="53">
        <v>6</v>
      </c>
    </row>
    <row r="89" spans="3:60" ht="12.75">
      <c r="C89" s="53" t="s">
        <v>33</v>
      </c>
      <c r="D89" s="53" t="s">
        <v>34</v>
      </c>
      <c r="E89" s="53">
        <v>4</v>
      </c>
      <c r="H89" s="53">
        <v>2</v>
      </c>
      <c r="J89" s="53">
        <v>1</v>
      </c>
      <c r="K89" s="53">
        <v>1</v>
      </c>
      <c r="L89" s="53">
        <v>1</v>
      </c>
      <c r="P89" s="53">
        <v>3</v>
      </c>
      <c r="Q89" s="53">
        <v>5</v>
      </c>
      <c r="R89" s="53">
        <v>1</v>
      </c>
      <c r="S89" s="53">
        <v>4</v>
      </c>
      <c r="T89" s="53">
        <v>14</v>
      </c>
      <c r="X89" s="53">
        <v>3</v>
      </c>
      <c r="Y89" s="53">
        <v>1</v>
      </c>
      <c r="Z89" s="53">
        <v>14</v>
      </c>
      <c r="AA89" s="53">
        <v>5</v>
      </c>
      <c r="AB89" s="53">
        <v>24</v>
      </c>
      <c r="AF89" s="53">
        <v>2</v>
      </c>
      <c r="AG89" s="53">
        <v>1</v>
      </c>
      <c r="AH89" s="53">
        <v>1</v>
      </c>
      <c r="AQ89" s="53">
        <v>5</v>
      </c>
      <c r="AZ89" s="53">
        <v>9</v>
      </c>
      <c r="BB89" s="53">
        <v>15</v>
      </c>
      <c r="BC89" s="53">
        <v>1</v>
      </c>
      <c r="BD89" s="53">
        <v>6</v>
      </c>
      <c r="BF89" s="53">
        <v>5</v>
      </c>
      <c r="BH89" s="53">
        <v>2</v>
      </c>
    </row>
    <row r="90" spans="3:55" ht="12.75">
      <c r="C90" s="53" t="s">
        <v>125</v>
      </c>
      <c r="D90" s="53" t="s">
        <v>126</v>
      </c>
      <c r="E90" s="53">
        <v>6</v>
      </c>
      <c r="AH90" s="53">
        <v>1</v>
      </c>
      <c r="BA90" s="53">
        <v>4</v>
      </c>
      <c r="BB90" s="53">
        <v>1</v>
      </c>
      <c r="BC90" s="53">
        <v>6</v>
      </c>
    </row>
    <row r="91" spans="3:60" ht="12.75">
      <c r="C91" s="53" t="s">
        <v>201</v>
      </c>
      <c r="D91" s="53" t="s">
        <v>202</v>
      </c>
      <c r="E91" s="53">
        <v>6</v>
      </c>
      <c r="H91" s="53">
        <v>2</v>
      </c>
      <c r="I91" s="53">
        <v>1</v>
      </c>
      <c r="J91" s="53">
        <v>1</v>
      </c>
      <c r="K91" s="53">
        <v>1</v>
      </c>
      <c r="Q91" s="53">
        <v>3</v>
      </c>
      <c r="T91" s="53">
        <v>1</v>
      </c>
      <c r="X91" s="53">
        <v>5</v>
      </c>
      <c r="Z91" s="53">
        <v>11</v>
      </c>
      <c r="AA91" s="53">
        <v>1</v>
      </c>
      <c r="AR91" s="53">
        <v>2</v>
      </c>
      <c r="AT91" s="53">
        <v>1</v>
      </c>
      <c r="AZ91" s="53">
        <v>1</v>
      </c>
      <c r="BA91" s="53">
        <v>2</v>
      </c>
      <c r="BB91" s="53">
        <v>4</v>
      </c>
      <c r="BC91" s="53">
        <v>2</v>
      </c>
      <c r="BD91" s="53">
        <v>5</v>
      </c>
      <c r="BF91" s="53">
        <v>4</v>
      </c>
      <c r="BG91" s="53">
        <v>5</v>
      </c>
      <c r="BH91" s="53">
        <v>2</v>
      </c>
    </row>
    <row r="92" spans="4:16" ht="12.75">
      <c r="D92" s="53" t="s">
        <v>542</v>
      </c>
      <c r="E92" s="53">
        <v>6</v>
      </c>
      <c r="P92" s="53">
        <v>1</v>
      </c>
    </row>
    <row r="93" spans="4:61" ht="12.75">
      <c r="D93" s="53" t="s">
        <v>493</v>
      </c>
      <c r="E93" s="53">
        <v>6</v>
      </c>
      <c r="AZ93" s="53">
        <v>1</v>
      </c>
      <c r="BE93" s="53">
        <v>25</v>
      </c>
      <c r="BI93" s="53">
        <v>39</v>
      </c>
    </row>
    <row r="94" spans="3:5" ht="12.75">
      <c r="C94" s="53" t="s">
        <v>121</v>
      </c>
      <c r="D94" s="53" t="s">
        <v>129</v>
      </c>
      <c r="E94" s="53">
        <v>5</v>
      </c>
    </row>
    <row r="95" spans="4:58" ht="12.75">
      <c r="D95" s="53" t="s">
        <v>122</v>
      </c>
      <c r="E95" s="53">
        <v>1</v>
      </c>
      <c r="H95" s="53">
        <v>1</v>
      </c>
      <c r="J95" s="53">
        <v>1</v>
      </c>
      <c r="P95" s="53">
        <v>2</v>
      </c>
      <c r="Q95" s="53">
        <v>1</v>
      </c>
      <c r="S95" s="53">
        <v>2</v>
      </c>
      <c r="AA95" s="53">
        <v>1</v>
      </c>
      <c r="AP95" s="53">
        <v>1</v>
      </c>
      <c r="AQ95" s="53">
        <v>1</v>
      </c>
      <c r="AR95" s="53">
        <v>1</v>
      </c>
      <c r="AZ95" s="53">
        <v>1</v>
      </c>
      <c r="BE95" s="53">
        <v>1</v>
      </c>
      <c r="BF95" s="53">
        <v>1</v>
      </c>
    </row>
    <row r="96" spans="4:36" ht="12.75">
      <c r="D96" s="53" t="s">
        <v>534</v>
      </c>
      <c r="E96" s="53">
        <v>2</v>
      </c>
      <c r="AG96" s="53">
        <v>1</v>
      </c>
      <c r="AJ96" s="53">
        <v>1</v>
      </c>
    </row>
    <row r="97" spans="3:60" ht="12.75">
      <c r="C97" s="53" t="s">
        <v>143</v>
      </c>
      <c r="D97" s="53" t="s">
        <v>144</v>
      </c>
      <c r="E97" s="53">
        <v>4</v>
      </c>
      <c r="AT97" s="53">
        <v>2</v>
      </c>
      <c r="BH97" s="53">
        <v>1</v>
      </c>
    </row>
    <row r="98" spans="4:24" ht="12.75">
      <c r="D98" s="53" t="s">
        <v>399</v>
      </c>
      <c r="E98" s="53">
        <v>7</v>
      </c>
      <c r="X98" s="53">
        <v>1</v>
      </c>
    </row>
    <row r="99" spans="3:61" ht="12.75">
      <c r="C99" s="53" t="s">
        <v>43</v>
      </c>
      <c r="D99" s="53" t="s">
        <v>47</v>
      </c>
      <c r="E99" s="53">
        <v>6</v>
      </c>
      <c r="H99" s="53">
        <v>3</v>
      </c>
      <c r="I99" s="53">
        <v>3</v>
      </c>
      <c r="J99" s="53">
        <v>8</v>
      </c>
      <c r="K99" s="53">
        <v>7</v>
      </c>
      <c r="L99" s="53">
        <v>61</v>
      </c>
      <c r="P99" s="53">
        <v>6</v>
      </c>
      <c r="Q99" s="53">
        <v>2</v>
      </c>
      <c r="R99" s="53">
        <v>15</v>
      </c>
      <c r="S99" s="53">
        <v>3</v>
      </c>
      <c r="X99" s="53">
        <v>8</v>
      </c>
      <c r="Z99" s="53">
        <v>7</v>
      </c>
      <c r="AA99" s="53">
        <v>1</v>
      </c>
      <c r="AB99" s="53">
        <v>13</v>
      </c>
      <c r="AF99" s="53">
        <v>7</v>
      </c>
      <c r="AG99" s="53">
        <v>3</v>
      </c>
      <c r="AH99" s="53">
        <v>2</v>
      </c>
      <c r="AI99" s="53">
        <v>1</v>
      </c>
      <c r="AJ99" s="53">
        <v>3</v>
      </c>
      <c r="AP99" s="53">
        <v>4</v>
      </c>
      <c r="AQ99" s="53">
        <v>3</v>
      </c>
      <c r="AR99" s="53">
        <v>5</v>
      </c>
      <c r="AS99" s="53">
        <v>6</v>
      </c>
      <c r="AT99" s="53">
        <v>70</v>
      </c>
      <c r="AZ99" s="53">
        <v>2</v>
      </c>
      <c r="BA99" s="53">
        <v>3</v>
      </c>
      <c r="BB99" s="53">
        <v>1</v>
      </c>
      <c r="BE99" s="53">
        <v>42</v>
      </c>
      <c r="BF99" s="53">
        <v>8</v>
      </c>
      <c r="BG99" s="53">
        <v>53</v>
      </c>
      <c r="BH99" s="53">
        <v>13</v>
      </c>
      <c r="BI99" s="53">
        <v>53</v>
      </c>
    </row>
    <row r="100" spans="4:61" ht="12.75">
      <c r="D100" s="53" t="s">
        <v>384</v>
      </c>
      <c r="E100" s="53">
        <v>6</v>
      </c>
      <c r="AT100" s="53">
        <v>11</v>
      </c>
      <c r="BI100" s="53">
        <v>1</v>
      </c>
    </row>
    <row r="101" spans="4:10" ht="12.75">
      <c r="D101" s="53" t="s">
        <v>535</v>
      </c>
      <c r="E101" s="53">
        <v>6</v>
      </c>
      <c r="J101" s="53">
        <v>1</v>
      </c>
    </row>
    <row r="102" spans="4:61" ht="12.75">
      <c r="D102" s="53" t="s">
        <v>497</v>
      </c>
      <c r="E102" s="53">
        <v>8</v>
      </c>
      <c r="Q102" s="53">
        <v>1</v>
      </c>
      <c r="Z102" s="53">
        <v>3</v>
      </c>
      <c r="BE102" s="53">
        <v>32</v>
      </c>
      <c r="BI102" s="53">
        <v>6</v>
      </c>
    </row>
    <row r="103" spans="3:5" ht="12.75">
      <c r="C103" s="53" t="s">
        <v>44</v>
      </c>
      <c r="D103" s="53" t="s">
        <v>538</v>
      </c>
      <c r="E103" s="53">
        <v>5</v>
      </c>
    </row>
    <row r="104" spans="4:57" ht="12.75">
      <c r="D104" s="53" t="s">
        <v>123</v>
      </c>
      <c r="E104" s="53">
        <v>7</v>
      </c>
      <c r="Y104" s="53">
        <v>2</v>
      </c>
      <c r="AZ104" s="53">
        <v>1</v>
      </c>
      <c r="BA104" s="53">
        <v>1</v>
      </c>
      <c r="BE104" s="53">
        <v>2</v>
      </c>
    </row>
    <row r="105" spans="4:46" ht="12.75">
      <c r="D105" s="53" t="s">
        <v>492</v>
      </c>
      <c r="E105" s="53">
        <v>5</v>
      </c>
      <c r="AT105" s="53">
        <v>5</v>
      </c>
    </row>
    <row r="106" spans="4:60" ht="12.75">
      <c r="D106" s="53" t="s">
        <v>51</v>
      </c>
      <c r="E106" s="53">
        <v>7</v>
      </c>
      <c r="H106" s="53">
        <v>63</v>
      </c>
      <c r="I106" s="53">
        <v>49</v>
      </c>
      <c r="J106" s="53">
        <v>100</v>
      </c>
      <c r="K106" s="53">
        <v>27</v>
      </c>
      <c r="L106" s="53">
        <v>86</v>
      </c>
      <c r="P106" s="53">
        <v>36</v>
      </c>
      <c r="Q106" s="53">
        <v>12</v>
      </c>
      <c r="R106" s="53">
        <v>59</v>
      </c>
      <c r="S106" s="53">
        <v>28</v>
      </c>
      <c r="T106" s="53">
        <v>28</v>
      </c>
      <c r="X106" s="53">
        <v>78</v>
      </c>
      <c r="Y106" s="53">
        <v>1</v>
      </c>
      <c r="Z106" s="53">
        <v>3</v>
      </c>
      <c r="AA106" s="53">
        <v>1</v>
      </c>
      <c r="AB106" s="53">
        <v>6</v>
      </c>
      <c r="AF106" s="53">
        <v>62</v>
      </c>
      <c r="AG106" s="53">
        <v>32</v>
      </c>
      <c r="AH106" s="53">
        <v>50</v>
      </c>
      <c r="AI106" s="53">
        <v>47</v>
      </c>
      <c r="AJ106" s="53">
        <v>25</v>
      </c>
      <c r="AP106" s="53">
        <v>4</v>
      </c>
      <c r="AQ106" s="53">
        <v>11</v>
      </c>
      <c r="AR106" s="53">
        <v>1</v>
      </c>
      <c r="AS106" s="53">
        <v>6</v>
      </c>
      <c r="AT106" s="53">
        <v>10</v>
      </c>
      <c r="AZ106" s="53">
        <v>5</v>
      </c>
      <c r="BA106" s="53">
        <v>1</v>
      </c>
      <c r="BB106" s="53">
        <v>7</v>
      </c>
      <c r="BC106" s="53">
        <v>3</v>
      </c>
      <c r="BD106" s="53">
        <v>3</v>
      </c>
      <c r="BE106" s="53">
        <v>3</v>
      </c>
      <c r="BF106" s="53">
        <v>6</v>
      </c>
      <c r="BG106" s="53">
        <v>18</v>
      </c>
      <c r="BH106" s="53">
        <v>3</v>
      </c>
    </row>
    <row r="107" spans="4:58" ht="12.75">
      <c r="D107" s="53" t="s">
        <v>209</v>
      </c>
      <c r="E107" s="53">
        <v>3</v>
      </c>
      <c r="H107" s="53">
        <v>27</v>
      </c>
      <c r="I107" s="53">
        <v>1</v>
      </c>
      <c r="J107" s="53">
        <v>1</v>
      </c>
      <c r="Q107" s="53">
        <v>1</v>
      </c>
      <c r="S107" s="53">
        <v>3</v>
      </c>
      <c r="T107" s="53">
        <v>2</v>
      </c>
      <c r="Y107" s="53">
        <v>62</v>
      </c>
      <c r="Z107" s="53">
        <v>7</v>
      </c>
      <c r="AA107" s="53">
        <v>12</v>
      </c>
      <c r="AB107" s="53">
        <v>1</v>
      </c>
      <c r="AF107" s="53">
        <v>2</v>
      </c>
      <c r="AH107" s="53">
        <v>2</v>
      </c>
      <c r="AI107" s="53">
        <v>4</v>
      </c>
      <c r="AJ107" s="53">
        <v>12</v>
      </c>
      <c r="BC107" s="53">
        <v>2</v>
      </c>
      <c r="BD107" s="53">
        <v>7</v>
      </c>
      <c r="BF107" s="53">
        <v>1</v>
      </c>
    </row>
    <row r="108" spans="4:5" ht="12.75">
      <c r="D108" s="53" t="s">
        <v>282</v>
      </c>
      <c r="E108" s="53">
        <v>8</v>
      </c>
    </row>
    <row r="109" spans="4:60" ht="12.75">
      <c r="D109" s="53" t="s">
        <v>249</v>
      </c>
      <c r="E109" s="53">
        <v>6</v>
      </c>
      <c r="J109" s="53">
        <v>8</v>
      </c>
      <c r="K109" s="53">
        <v>3</v>
      </c>
      <c r="P109" s="53">
        <v>8</v>
      </c>
      <c r="Q109" s="53">
        <v>9</v>
      </c>
      <c r="R109" s="53">
        <v>6</v>
      </c>
      <c r="S109" s="53">
        <v>19</v>
      </c>
      <c r="T109" s="53">
        <v>10</v>
      </c>
      <c r="X109" s="53">
        <v>19</v>
      </c>
      <c r="Y109" s="53">
        <v>9</v>
      </c>
      <c r="Z109" s="53">
        <v>8</v>
      </c>
      <c r="AA109" s="53">
        <v>11</v>
      </c>
      <c r="AF109" s="53">
        <v>3</v>
      </c>
      <c r="AG109" s="53">
        <v>2</v>
      </c>
      <c r="AH109" s="53">
        <v>8</v>
      </c>
      <c r="AI109" s="53">
        <v>3</v>
      </c>
      <c r="AP109" s="53">
        <v>5</v>
      </c>
      <c r="AQ109" s="53">
        <v>1</v>
      </c>
      <c r="AS109" s="53">
        <v>1</v>
      </c>
      <c r="AT109" s="53">
        <v>2</v>
      </c>
      <c r="BB109" s="53">
        <v>6</v>
      </c>
      <c r="BC109" s="53">
        <v>5</v>
      </c>
      <c r="BD109" s="53">
        <v>7</v>
      </c>
      <c r="BE109" s="53">
        <v>6</v>
      </c>
      <c r="BG109" s="53">
        <v>1</v>
      </c>
      <c r="BH109" s="53">
        <v>2</v>
      </c>
    </row>
    <row r="110" spans="4:5" ht="12.75">
      <c r="D110" s="53" t="s">
        <v>383</v>
      </c>
      <c r="E110" s="53">
        <v>6</v>
      </c>
    </row>
    <row r="111" spans="4:5" ht="12.75">
      <c r="D111" s="53" t="s">
        <v>207</v>
      </c>
      <c r="E111" s="53">
        <v>6</v>
      </c>
    </row>
    <row r="112" spans="4:45" ht="12.75">
      <c r="D112" s="53" t="s">
        <v>50</v>
      </c>
      <c r="E112" s="53">
        <v>6</v>
      </c>
      <c r="L112" s="53">
        <v>4</v>
      </c>
      <c r="P112" s="53">
        <v>4</v>
      </c>
      <c r="AA112" s="53">
        <v>2</v>
      </c>
      <c r="AG112" s="53">
        <v>2</v>
      </c>
      <c r="AS112" s="53">
        <v>2</v>
      </c>
    </row>
    <row r="113" spans="4:61" ht="12.75">
      <c r="D113" s="53" t="s">
        <v>52</v>
      </c>
      <c r="E113" s="53">
        <v>6</v>
      </c>
      <c r="AT113" s="53">
        <v>4</v>
      </c>
      <c r="BE113" s="53">
        <v>5</v>
      </c>
      <c r="BI113" s="53">
        <v>1</v>
      </c>
    </row>
    <row r="114" spans="4:5" ht="12.75">
      <c r="D114" s="53" t="s">
        <v>189</v>
      </c>
      <c r="E114" s="53">
        <v>8</v>
      </c>
    </row>
    <row r="115" spans="4:10" ht="12.75">
      <c r="D115" s="53" t="s">
        <v>99</v>
      </c>
      <c r="E115" s="53">
        <v>6</v>
      </c>
      <c r="J115" s="53">
        <v>4</v>
      </c>
    </row>
    <row r="116" spans="4:16" ht="12.75">
      <c r="D116" s="53" t="s">
        <v>540</v>
      </c>
      <c r="E116" s="53">
        <v>3</v>
      </c>
      <c r="I116" s="53">
        <v>3</v>
      </c>
      <c r="P116" s="53">
        <v>1</v>
      </c>
    </row>
    <row r="117" spans="4:5" ht="12.75">
      <c r="D117" s="53" t="s">
        <v>136</v>
      </c>
      <c r="E117" s="53">
        <v>6</v>
      </c>
    </row>
    <row r="118" spans="4:60" ht="12.75">
      <c r="D118" s="53" t="s">
        <v>392</v>
      </c>
      <c r="E118" s="53">
        <v>4</v>
      </c>
      <c r="I118" s="53">
        <v>3</v>
      </c>
      <c r="J118" s="53">
        <v>4</v>
      </c>
      <c r="K118" s="53">
        <v>3</v>
      </c>
      <c r="L118" s="53">
        <v>12</v>
      </c>
      <c r="X118" s="53">
        <v>35</v>
      </c>
      <c r="Y118" s="53">
        <v>2</v>
      </c>
      <c r="Z118" s="53">
        <v>3</v>
      </c>
      <c r="AB118" s="53">
        <v>123</v>
      </c>
      <c r="AF118" s="53">
        <v>3</v>
      </c>
      <c r="AG118" s="53">
        <v>6</v>
      </c>
      <c r="AI118" s="53">
        <v>1</v>
      </c>
      <c r="AQ118" s="53">
        <v>2</v>
      </c>
      <c r="AR118" s="53">
        <v>2</v>
      </c>
      <c r="AS118" s="53">
        <v>17</v>
      </c>
      <c r="AT118" s="53">
        <v>10</v>
      </c>
      <c r="AZ118" s="53">
        <v>7</v>
      </c>
      <c r="BB118" s="53">
        <v>1</v>
      </c>
      <c r="BD118" s="53">
        <v>1</v>
      </c>
      <c r="BE118" s="53">
        <v>3</v>
      </c>
      <c r="BF118" s="53">
        <v>11</v>
      </c>
      <c r="BG118" s="53">
        <v>55</v>
      </c>
      <c r="BH118" s="53">
        <v>28</v>
      </c>
    </row>
    <row r="119" spans="4:24" ht="12.75">
      <c r="D119" s="53" t="s">
        <v>208</v>
      </c>
      <c r="E119" s="53">
        <v>5</v>
      </c>
      <c r="L119" s="53">
        <v>12</v>
      </c>
      <c r="P119" s="53">
        <v>1</v>
      </c>
      <c r="S119" s="53">
        <v>2</v>
      </c>
      <c r="T119" s="53">
        <v>2</v>
      </c>
      <c r="X119" s="53">
        <v>8</v>
      </c>
    </row>
    <row r="120" spans="4:5" ht="12.75">
      <c r="D120" s="53" t="s">
        <v>281</v>
      </c>
      <c r="E120" s="53">
        <v>6</v>
      </c>
    </row>
    <row r="121" spans="4:5" ht="12.75">
      <c r="D121" s="53" t="s">
        <v>390</v>
      </c>
      <c r="E121" s="53">
        <v>5</v>
      </c>
    </row>
    <row r="122" spans="4:5" ht="12.75">
      <c r="D122" s="53" t="s">
        <v>310</v>
      </c>
      <c r="E122" s="53">
        <v>8</v>
      </c>
    </row>
    <row r="123" spans="4:61" ht="12.75">
      <c r="D123" s="53" t="s">
        <v>280</v>
      </c>
      <c r="E123" s="53">
        <v>2</v>
      </c>
      <c r="H123" s="53">
        <v>3</v>
      </c>
      <c r="I123" s="53">
        <v>1</v>
      </c>
      <c r="J123" s="53">
        <v>1</v>
      </c>
      <c r="P123" s="53">
        <v>3</v>
      </c>
      <c r="Q123" s="53">
        <v>9</v>
      </c>
      <c r="S123" s="53">
        <v>6</v>
      </c>
      <c r="X123" s="53">
        <v>4</v>
      </c>
      <c r="Y123" s="53">
        <v>1</v>
      </c>
      <c r="AP123" s="53">
        <v>1</v>
      </c>
      <c r="BF123" s="53">
        <v>1</v>
      </c>
      <c r="BI123" s="53">
        <v>1</v>
      </c>
    </row>
    <row r="124" spans="4:5" ht="12.75">
      <c r="D124" s="53" t="s">
        <v>391</v>
      </c>
      <c r="E124" s="53">
        <v>6</v>
      </c>
    </row>
    <row r="125" spans="4:59" ht="12.75">
      <c r="D125" s="53" t="s">
        <v>138</v>
      </c>
      <c r="E125" s="53">
        <v>6</v>
      </c>
      <c r="H125" s="53">
        <v>1</v>
      </c>
      <c r="I125" s="53">
        <v>3</v>
      </c>
      <c r="K125" s="53">
        <v>1</v>
      </c>
      <c r="L125" s="53">
        <v>4</v>
      </c>
      <c r="P125" s="53">
        <v>4</v>
      </c>
      <c r="Q125" s="53">
        <v>4</v>
      </c>
      <c r="R125" s="53">
        <v>1</v>
      </c>
      <c r="S125" s="53">
        <v>10</v>
      </c>
      <c r="T125" s="53">
        <v>3</v>
      </c>
      <c r="X125" s="53">
        <v>31</v>
      </c>
      <c r="Y125" s="53">
        <v>2</v>
      </c>
      <c r="Z125" s="53">
        <v>1</v>
      </c>
      <c r="AG125" s="53">
        <v>3</v>
      </c>
      <c r="AP125" s="53">
        <v>7</v>
      </c>
      <c r="AQ125" s="53">
        <v>2</v>
      </c>
      <c r="AR125" s="53">
        <v>1</v>
      </c>
      <c r="AZ125" s="53">
        <v>1</v>
      </c>
      <c r="BA125" s="53">
        <v>1</v>
      </c>
      <c r="BC125" s="53">
        <v>1</v>
      </c>
      <c r="BD125" s="53">
        <v>3</v>
      </c>
      <c r="BF125" s="53">
        <v>1</v>
      </c>
      <c r="BG125" s="53">
        <v>3</v>
      </c>
    </row>
    <row r="126" spans="4:19" ht="12.75">
      <c r="D126" s="53" t="s">
        <v>124</v>
      </c>
      <c r="E126" s="53">
        <v>5</v>
      </c>
      <c r="S126" s="53">
        <v>1</v>
      </c>
    </row>
    <row r="127" spans="3:5" ht="12.75">
      <c r="C127" s="53" t="s">
        <v>181</v>
      </c>
      <c r="D127" s="53" t="s">
        <v>182</v>
      </c>
      <c r="E127" s="53">
        <v>8</v>
      </c>
    </row>
    <row r="128" spans="3:24" ht="12.75">
      <c r="C128" s="53" t="s">
        <v>45</v>
      </c>
      <c r="D128" s="53" t="s">
        <v>539</v>
      </c>
      <c r="E128" s="53">
        <v>8</v>
      </c>
      <c r="X128" s="53">
        <v>4</v>
      </c>
    </row>
    <row r="129" spans="4:58" ht="12.75">
      <c r="D129" s="53" t="s">
        <v>379</v>
      </c>
      <c r="E129" s="53">
        <v>6</v>
      </c>
      <c r="R129" s="53">
        <v>3</v>
      </c>
      <c r="AS129" s="53">
        <v>5</v>
      </c>
      <c r="BA129" s="53">
        <v>1</v>
      </c>
      <c r="BE129" s="53">
        <v>3</v>
      </c>
      <c r="BF129" s="53">
        <v>2</v>
      </c>
    </row>
    <row r="130" spans="4:11" ht="12.75">
      <c r="D130" s="53" t="s">
        <v>301</v>
      </c>
      <c r="E130" s="53">
        <v>6</v>
      </c>
      <c r="K130" s="53">
        <v>1</v>
      </c>
    </row>
    <row r="131" spans="4:5" ht="12.75">
      <c r="D131" s="53" t="s">
        <v>448</v>
      </c>
      <c r="E131" s="53">
        <v>6</v>
      </c>
    </row>
    <row r="132" spans="4:60" ht="12.75">
      <c r="D132" s="53" t="s">
        <v>494</v>
      </c>
      <c r="E132" s="53">
        <v>6</v>
      </c>
      <c r="X132" s="53">
        <v>8</v>
      </c>
      <c r="Z132" s="53">
        <v>6</v>
      </c>
      <c r="BA132" s="53">
        <v>1</v>
      </c>
      <c r="BF132" s="53">
        <v>2</v>
      </c>
      <c r="BH132" s="53">
        <v>2</v>
      </c>
    </row>
    <row r="133" spans="4:5" ht="12.75">
      <c r="D133" s="53" t="s">
        <v>190</v>
      </c>
      <c r="E133" s="53">
        <v>6</v>
      </c>
    </row>
    <row r="134" spans="4:5" ht="12.75">
      <c r="D134" s="53" t="s">
        <v>446</v>
      </c>
      <c r="E134" s="53">
        <v>6</v>
      </c>
    </row>
    <row r="135" spans="4:16" ht="12.75">
      <c r="D135" s="53" t="s">
        <v>536</v>
      </c>
      <c r="E135" s="53">
        <v>8</v>
      </c>
      <c r="P135" s="53">
        <v>1</v>
      </c>
    </row>
    <row r="136" spans="4:45" ht="12.75">
      <c r="D136" s="53" t="s">
        <v>491</v>
      </c>
      <c r="E136" s="53">
        <v>7</v>
      </c>
      <c r="AS136" s="53">
        <v>1</v>
      </c>
    </row>
    <row r="137" spans="3:57" ht="12.75">
      <c r="C137" s="53" t="s">
        <v>46</v>
      </c>
      <c r="D137" s="53" t="s">
        <v>48</v>
      </c>
      <c r="E137" s="53">
        <v>7</v>
      </c>
      <c r="P137" s="53">
        <v>1</v>
      </c>
      <c r="S137" s="53">
        <v>3</v>
      </c>
      <c r="Z137" s="53">
        <v>1</v>
      </c>
      <c r="AZ137" s="53">
        <v>3</v>
      </c>
      <c r="BC137" s="53">
        <v>1</v>
      </c>
      <c r="BE137" s="53">
        <v>2</v>
      </c>
    </row>
    <row r="138" spans="4:61" ht="12.75">
      <c r="D138" s="53" t="s">
        <v>179</v>
      </c>
      <c r="E138" s="53">
        <v>6</v>
      </c>
      <c r="H138" s="53">
        <v>137</v>
      </c>
      <c r="I138" s="53">
        <v>221</v>
      </c>
      <c r="J138" s="53">
        <v>189</v>
      </c>
      <c r="K138" s="53">
        <v>351</v>
      </c>
      <c r="L138" s="53">
        <v>307</v>
      </c>
      <c r="P138" s="53">
        <v>55</v>
      </c>
      <c r="Q138" s="53">
        <v>87</v>
      </c>
      <c r="R138" s="53">
        <v>296</v>
      </c>
      <c r="S138" s="53">
        <v>14</v>
      </c>
      <c r="T138" s="53">
        <v>201</v>
      </c>
      <c r="X138" s="53">
        <v>377</v>
      </c>
      <c r="Y138" s="53">
        <v>61</v>
      </c>
      <c r="Z138" s="53">
        <v>192</v>
      </c>
      <c r="AA138" s="53">
        <v>158</v>
      </c>
      <c r="AB138" s="53">
        <v>695</v>
      </c>
      <c r="AF138" s="53">
        <v>2</v>
      </c>
      <c r="AG138" s="53">
        <v>15</v>
      </c>
      <c r="AH138" s="53">
        <v>1</v>
      </c>
      <c r="AI138" s="53">
        <v>6</v>
      </c>
      <c r="AP138" s="53">
        <v>1</v>
      </c>
      <c r="AQ138" s="53">
        <v>4</v>
      </c>
      <c r="AR138" s="53">
        <v>22</v>
      </c>
      <c r="AS138" s="53">
        <v>39</v>
      </c>
      <c r="AT138" s="53">
        <v>12</v>
      </c>
      <c r="AZ138" s="53">
        <v>47</v>
      </c>
      <c r="BA138" s="53">
        <v>15</v>
      </c>
      <c r="BB138" s="53">
        <v>35</v>
      </c>
      <c r="BC138" s="53">
        <v>18</v>
      </c>
      <c r="BD138" s="53">
        <v>56</v>
      </c>
      <c r="BE138" s="53">
        <v>14</v>
      </c>
      <c r="BF138" s="53">
        <v>62</v>
      </c>
      <c r="BG138" s="53">
        <v>160</v>
      </c>
      <c r="BH138" s="53">
        <v>54</v>
      </c>
      <c r="BI138" s="53">
        <v>31</v>
      </c>
    </row>
    <row r="139" spans="4:61" ht="12.75">
      <c r="D139" s="53" t="s">
        <v>188</v>
      </c>
      <c r="E139" s="53">
        <v>4</v>
      </c>
      <c r="Z139" s="53">
        <v>3</v>
      </c>
      <c r="AA139" s="53">
        <v>2</v>
      </c>
      <c r="AG139" s="53">
        <v>2</v>
      </c>
      <c r="AH139" s="53">
        <v>2</v>
      </c>
      <c r="AR139" s="53">
        <v>1</v>
      </c>
      <c r="AT139" s="53">
        <v>6</v>
      </c>
      <c r="AZ139" s="53">
        <v>1</v>
      </c>
      <c r="BE139" s="53">
        <v>4</v>
      </c>
      <c r="BF139" s="53">
        <v>4</v>
      </c>
      <c r="BH139" s="53">
        <v>1</v>
      </c>
      <c r="BI139" s="53">
        <v>3</v>
      </c>
    </row>
    <row r="140" spans="4:5" ht="12.75">
      <c r="D140" s="53" t="s">
        <v>300</v>
      </c>
      <c r="E140" s="53">
        <v>2</v>
      </c>
    </row>
    <row r="141" spans="4:60" ht="12.75">
      <c r="D141" s="53" t="s">
        <v>206</v>
      </c>
      <c r="E141" s="53">
        <v>6</v>
      </c>
      <c r="H141" s="53">
        <v>63</v>
      </c>
      <c r="I141" s="53">
        <v>23</v>
      </c>
      <c r="J141" s="53">
        <v>142</v>
      </c>
      <c r="K141" s="53">
        <v>10</v>
      </c>
      <c r="P141" s="53">
        <v>26</v>
      </c>
      <c r="Q141" s="53">
        <v>10</v>
      </c>
      <c r="R141" s="53">
        <v>9</v>
      </c>
      <c r="S141" s="53">
        <v>4</v>
      </c>
      <c r="X141" s="53">
        <v>4</v>
      </c>
      <c r="AA141" s="53">
        <v>18</v>
      </c>
      <c r="AF141" s="53">
        <v>41</v>
      </c>
      <c r="AG141" s="53">
        <v>44</v>
      </c>
      <c r="AH141" s="53">
        <v>202</v>
      </c>
      <c r="AI141" s="53">
        <v>77</v>
      </c>
      <c r="AJ141" s="53">
        <v>75</v>
      </c>
      <c r="AP141" s="53">
        <v>40</v>
      </c>
      <c r="AQ141" s="53">
        <v>41</v>
      </c>
      <c r="AR141" s="53">
        <v>4</v>
      </c>
      <c r="AS141" s="53">
        <v>10</v>
      </c>
      <c r="AT141" s="53">
        <v>18</v>
      </c>
      <c r="AZ141" s="53">
        <v>8</v>
      </c>
      <c r="BA141" s="53">
        <v>4</v>
      </c>
      <c r="BC141" s="53">
        <v>2</v>
      </c>
      <c r="BH141" s="53">
        <v>10</v>
      </c>
    </row>
    <row r="142" spans="4:60" ht="12.75">
      <c r="D142" s="53" t="s">
        <v>180</v>
      </c>
      <c r="E142" s="53">
        <v>6</v>
      </c>
      <c r="H142" s="53">
        <v>3</v>
      </c>
      <c r="J142" s="53">
        <v>4</v>
      </c>
      <c r="P142" s="53">
        <v>7</v>
      </c>
      <c r="Q142" s="53">
        <v>21</v>
      </c>
      <c r="S142" s="53">
        <v>1</v>
      </c>
      <c r="T142" s="53">
        <v>19</v>
      </c>
      <c r="X142" s="53">
        <v>8</v>
      </c>
      <c r="Y142" s="53">
        <v>4</v>
      </c>
      <c r="AF142" s="53">
        <v>4</v>
      </c>
      <c r="AG142" s="53">
        <v>14</v>
      </c>
      <c r="AI142" s="53">
        <v>10</v>
      </c>
      <c r="AQ142" s="53">
        <v>10</v>
      </c>
      <c r="AR142" s="53">
        <v>6</v>
      </c>
      <c r="AS142" s="53">
        <v>12</v>
      </c>
      <c r="BA142" s="53">
        <v>3</v>
      </c>
      <c r="BC142" s="53">
        <v>2</v>
      </c>
      <c r="BF142" s="53">
        <v>14</v>
      </c>
      <c r="BG142" s="53">
        <v>30</v>
      </c>
      <c r="BH142" s="53">
        <v>4</v>
      </c>
    </row>
    <row r="143" spans="1:61" ht="12.75">
      <c r="A143" s="53" t="s">
        <v>107</v>
      </c>
      <c r="B143" s="53" t="s">
        <v>108</v>
      </c>
      <c r="C143" s="53" t="s">
        <v>74</v>
      </c>
      <c r="D143" s="53" t="s">
        <v>109</v>
      </c>
      <c r="E143" s="53">
        <v>8</v>
      </c>
      <c r="I143" s="53">
        <v>4</v>
      </c>
      <c r="J143" s="53">
        <v>1</v>
      </c>
      <c r="K143" s="53">
        <v>1</v>
      </c>
      <c r="L143" s="53">
        <v>1</v>
      </c>
      <c r="P143" s="53">
        <v>4</v>
      </c>
      <c r="R143" s="53">
        <v>4</v>
      </c>
      <c r="T143" s="53">
        <v>1</v>
      </c>
      <c r="X143" s="53">
        <v>1</v>
      </c>
      <c r="Y143" s="53">
        <v>1</v>
      </c>
      <c r="Z143" s="53">
        <v>10</v>
      </c>
      <c r="AA143" s="53">
        <v>2</v>
      </c>
      <c r="AB143" s="53">
        <v>3</v>
      </c>
      <c r="AF143" s="53">
        <v>2</v>
      </c>
      <c r="AG143" s="53">
        <v>5</v>
      </c>
      <c r="AH143" s="53">
        <v>1</v>
      </c>
      <c r="AI143" s="53">
        <v>1</v>
      </c>
      <c r="AJ143" s="53">
        <v>7</v>
      </c>
      <c r="AP143" s="53">
        <v>3</v>
      </c>
      <c r="AQ143" s="53">
        <v>9</v>
      </c>
      <c r="AR143" s="53">
        <v>4</v>
      </c>
      <c r="AS143" s="53">
        <v>5</v>
      </c>
      <c r="AT143" s="53">
        <v>29</v>
      </c>
      <c r="AZ143" s="53">
        <v>1</v>
      </c>
      <c r="BA143" s="53">
        <v>7</v>
      </c>
      <c r="BB143" s="53">
        <v>3</v>
      </c>
      <c r="BE143" s="53">
        <v>1</v>
      </c>
      <c r="BF143" s="53">
        <v>7</v>
      </c>
      <c r="BG143" s="53">
        <v>5</v>
      </c>
      <c r="BH143" s="53">
        <v>8</v>
      </c>
      <c r="BI143" s="53">
        <v>1</v>
      </c>
    </row>
    <row r="144" spans="1:61" ht="12.75">
      <c r="A144" s="53" t="s">
        <v>83</v>
      </c>
      <c r="B144" s="53" t="s">
        <v>84</v>
      </c>
      <c r="C144" s="53" t="s">
        <v>85</v>
      </c>
      <c r="D144" s="53" t="s">
        <v>86</v>
      </c>
      <c r="E144" s="53">
        <v>8</v>
      </c>
      <c r="I144" s="53">
        <v>1</v>
      </c>
      <c r="X144" s="53">
        <v>11</v>
      </c>
      <c r="AA144" s="53">
        <v>1</v>
      </c>
      <c r="AB144" s="53">
        <v>7</v>
      </c>
      <c r="AF144" s="53">
        <v>1</v>
      </c>
      <c r="AG144" s="53">
        <v>7</v>
      </c>
      <c r="AS144" s="53">
        <v>1</v>
      </c>
      <c r="AZ144" s="53">
        <v>3</v>
      </c>
      <c r="BA144" s="53">
        <v>1</v>
      </c>
      <c r="BB144" s="53">
        <v>1</v>
      </c>
      <c r="BE144" s="53">
        <v>61</v>
      </c>
      <c r="BF144" s="53">
        <v>1</v>
      </c>
      <c r="BI144" s="53">
        <v>3</v>
      </c>
    </row>
    <row r="145" spans="3:5" ht="12.75">
      <c r="C145" s="53" t="s">
        <v>380</v>
      </c>
      <c r="D145" s="53" t="s">
        <v>381</v>
      </c>
      <c r="E145" s="53">
        <v>8</v>
      </c>
    </row>
    <row r="146" spans="2:10" ht="12.75">
      <c r="B146" s="53" t="s">
        <v>290</v>
      </c>
      <c r="C146" s="53" t="s">
        <v>289</v>
      </c>
      <c r="D146" s="53" t="s">
        <v>291</v>
      </c>
      <c r="E146" s="53">
        <v>8</v>
      </c>
      <c r="J146" s="53">
        <v>1</v>
      </c>
    </row>
    <row r="147" spans="1:61" ht="12.75">
      <c r="A147" s="53" t="s">
        <v>73</v>
      </c>
      <c r="B147" s="53" t="s">
        <v>74</v>
      </c>
      <c r="C147" s="53" t="s">
        <v>74</v>
      </c>
      <c r="D147" s="53" t="s">
        <v>75</v>
      </c>
      <c r="E147" s="53">
        <v>5</v>
      </c>
      <c r="H147" s="53">
        <v>3</v>
      </c>
      <c r="J147" s="53">
        <v>2</v>
      </c>
      <c r="K147" s="53">
        <v>1</v>
      </c>
      <c r="P147" s="53">
        <v>4</v>
      </c>
      <c r="Q147" s="53">
        <v>5</v>
      </c>
      <c r="R147" s="53">
        <v>3</v>
      </c>
      <c r="S147" s="53">
        <v>28</v>
      </c>
      <c r="T147" s="53">
        <v>7</v>
      </c>
      <c r="X147" s="53">
        <v>33</v>
      </c>
      <c r="Y147" s="53">
        <v>2</v>
      </c>
      <c r="Z147" s="53">
        <v>19</v>
      </c>
      <c r="AA147" s="53">
        <v>2</v>
      </c>
      <c r="AB147" s="53">
        <v>4</v>
      </c>
      <c r="AF147" s="53">
        <v>1</v>
      </c>
      <c r="AG147" s="53">
        <v>4</v>
      </c>
      <c r="AH147" s="53">
        <v>1</v>
      </c>
      <c r="AQ147" s="53">
        <v>2</v>
      </c>
      <c r="AR147" s="53">
        <v>3</v>
      </c>
      <c r="AS147" s="53">
        <v>3</v>
      </c>
      <c r="AT147" s="53">
        <v>1</v>
      </c>
      <c r="AZ147" s="53">
        <v>7</v>
      </c>
      <c r="BA147" s="53">
        <v>67</v>
      </c>
      <c r="BB147" s="53">
        <v>15</v>
      </c>
      <c r="BC147" s="53">
        <v>13</v>
      </c>
      <c r="BD147" s="53">
        <v>15</v>
      </c>
      <c r="BE147" s="53">
        <v>50</v>
      </c>
      <c r="BF147" s="53">
        <v>5</v>
      </c>
      <c r="BG147" s="53">
        <v>14</v>
      </c>
      <c r="BH147" s="53">
        <v>25</v>
      </c>
      <c r="BI147" s="53">
        <v>62</v>
      </c>
    </row>
    <row r="148" spans="1:56" ht="12.75">
      <c r="A148" s="53" t="s">
        <v>76</v>
      </c>
      <c r="B148" s="53" t="s">
        <v>77</v>
      </c>
      <c r="C148" s="53" t="s">
        <v>78</v>
      </c>
      <c r="D148" s="53" t="s">
        <v>76</v>
      </c>
      <c r="E148" s="53">
        <v>4</v>
      </c>
      <c r="Q148" s="53">
        <v>1</v>
      </c>
      <c r="S148" s="53">
        <v>3</v>
      </c>
      <c r="Y148" s="53">
        <v>1</v>
      </c>
      <c r="Z148" s="53">
        <v>1</v>
      </c>
      <c r="AB148" s="53">
        <v>1</v>
      </c>
      <c r="AQ148" s="53">
        <v>1</v>
      </c>
      <c r="AZ148" s="53">
        <v>1</v>
      </c>
      <c r="BA148" s="53">
        <v>3</v>
      </c>
      <c r="BB148" s="53">
        <v>2</v>
      </c>
      <c r="BC148" s="53">
        <v>8</v>
      </c>
      <c r="BD148" s="53">
        <v>1</v>
      </c>
    </row>
    <row r="149" spans="1:61" ht="12.75">
      <c r="A149" s="53" t="s">
        <v>296</v>
      </c>
      <c r="B149" s="53" t="s">
        <v>297</v>
      </c>
      <c r="C149" s="53" t="s">
        <v>298</v>
      </c>
      <c r="D149" s="53" t="s">
        <v>299</v>
      </c>
      <c r="E149" s="53">
        <v>5</v>
      </c>
      <c r="H149" s="53">
        <v>4</v>
      </c>
      <c r="Q149" s="53">
        <v>2</v>
      </c>
      <c r="S149" s="53">
        <v>1</v>
      </c>
      <c r="Y149" s="53">
        <v>3</v>
      </c>
      <c r="AA149" s="53">
        <v>3</v>
      </c>
      <c r="AT149" s="53">
        <v>1</v>
      </c>
      <c r="AZ149" s="53">
        <v>1</v>
      </c>
      <c r="BF149" s="53">
        <v>1</v>
      </c>
      <c r="BG149" s="53">
        <v>3</v>
      </c>
      <c r="BH149" s="53">
        <v>1</v>
      </c>
      <c r="BI149" s="53">
        <v>2</v>
      </c>
    </row>
    <row r="150" spans="1:59" ht="12.75">
      <c r="A150" s="53" t="s">
        <v>41</v>
      </c>
      <c r="B150" s="53" t="s">
        <v>42</v>
      </c>
      <c r="C150" s="53" t="s">
        <v>130</v>
      </c>
      <c r="D150" s="53" t="s">
        <v>131</v>
      </c>
      <c r="E150" s="53">
        <v>5</v>
      </c>
      <c r="T150" s="53">
        <v>1</v>
      </c>
      <c r="AP150" s="53">
        <v>3</v>
      </c>
      <c r="BG150" s="53">
        <v>1</v>
      </c>
    </row>
    <row r="151" spans="4:54" ht="12.75">
      <c r="D151" s="53" t="s">
        <v>311</v>
      </c>
      <c r="E151" s="53">
        <v>5</v>
      </c>
      <c r="J151" s="53">
        <v>2</v>
      </c>
      <c r="P151" s="53">
        <v>1</v>
      </c>
      <c r="AI151" s="53">
        <v>2</v>
      </c>
      <c r="AS151" s="53">
        <v>1</v>
      </c>
      <c r="BB151" s="53">
        <v>1</v>
      </c>
    </row>
    <row r="152" spans="3:60" ht="12.75">
      <c r="C152" s="53" t="s">
        <v>183</v>
      </c>
      <c r="D152" s="53" t="s">
        <v>184</v>
      </c>
      <c r="E152" s="53">
        <v>5</v>
      </c>
      <c r="H152" s="53">
        <v>1</v>
      </c>
      <c r="I152" s="53">
        <v>4</v>
      </c>
      <c r="J152" s="53">
        <v>4</v>
      </c>
      <c r="K152" s="53">
        <v>1</v>
      </c>
      <c r="L152" s="53">
        <v>1</v>
      </c>
      <c r="Q152" s="53">
        <v>1</v>
      </c>
      <c r="S152" s="53">
        <v>1</v>
      </c>
      <c r="T152" s="53">
        <v>1</v>
      </c>
      <c r="X152" s="53">
        <v>1</v>
      </c>
      <c r="Y152" s="53">
        <v>1</v>
      </c>
      <c r="Z152" s="53">
        <v>6</v>
      </c>
      <c r="AA152" s="53">
        <v>2</v>
      </c>
      <c r="AB152" s="53">
        <v>5</v>
      </c>
      <c r="AG152" s="53">
        <v>3</v>
      </c>
      <c r="AH152" s="53">
        <v>3</v>
      </c>
      <c r="AI152" s="53">
        <v>3</v>
      </c>
      <c r="AJ152" s="53">
        <v>2</v>
      </c>
      <c r="AP152" s="53">
        <v>2</v>
      </c>
      <c r="AQ152" s="53">
        <v>8</v>
      </c>
      <c r="AR152" s="53">
        <v>4</v>
      </c>
      <c r="AS152" s="53">
        <v>3</v>
      </c>
      <c r="AT152" s="53">
        <v>6</v>
      </c>
      <c r="AZ152" s="53">
        <v>4</v>
      </c>
      <c r="BA152" s="53">
        <v>1</v>
      </c>
      <c r="BB152" s="53">
        <v>1</v>
      </c>
      <c r="BF152" s="53">
        <v>3</v>
      </c>
      <c r="BG152" s="53">
        <v>4</v>
      </c>
      <c r="BH152" s="53">
        <v>1</v>
      </c>
    </row>
    <row r="153" spans="4:11" ht="12.75">
      <c r="D153" s="53" t="s">
        <v>541</v>
      </c>
      <c r="E153" s="53">
        <v>5</v>
      </c>
      <c r="K153" s="53">
        <v>1</v>
      </c>
    </row>
    <row r="154" spans="4:60" ht="12.75">
      <c r="D154" s="53" t="s">
        <v>319</v>
      </c>
      <c r="E154" s="53">
        <v>5</v>
      </c>
      <c r="S154" s="53">
        <v>1</v>
      </c>
      <c r="Z154" s="53">
        <v>1</v>
      </c>
      <c r="AG154" s="53">
        <v>2</v>
      </c>
      <c r="AH154" s="53">
        <v>2</v>
      </c>
      <c r="AI154" s="53">
        <v>3</v>
      </c>
      <c r="AJ154" s="53">
        <v>5</v>
      </c>
      <c r="AP154" s="53">
        <v>4</v>
      </c>
      <c r="AQ154" s="53">
        <v>2</v>
      </c>
      <c r="AR154" s="53">
        <v>4</v>
      </c>
      <c r="AT154" s="53">
        <v>1</v>
      </c>
      <c r="BG154" s="53">
        <v>1</v>
      </c>
      <c r="BH154" s="53">
        <v>1</v>
      </c>
    </row>
    <row r="155" spans="3:5" ht="12.75">
      <c r="C155" s="53" t="s">
        <v>317</v>
      </c>
      <c r="D155" s="53" t="s">
        <v>318</v>
      </c>
      <c r="E155" s="53">
        <v>5</v>
      </c>
    </row>
    <row r="156" spans="3:54" ht="12.75">
      <c r="C156" s="53" t="s">
        <v>312</v>
      </c>
      <c r="D156" s="53" t="s">
        <v>313</v>
      </c>
      <c r="E156" s="53">
        <v>5</v>
      </c>
      <c r="Y156" s="53">
        <v>1</v>
      </c>
      <c r="BB156" s="53">
        <v>1</v>
      </c>
    </row>
    <row r="157" spans="4:54" ht="12.75">
      <c r="D157" s="53" t="s">
        <v>490</v>
      </c>
      <c r="E157" s="53">
        <v>8</v>
      </c>
      <c r="AI157" s="53">
        <v>1</v>
      </c>
      <c r="BB157" s="53">
        <v>1</v>
      </c>
    </row>
    <row r="158" spans="3:60" ht="12.75">
      <c r="C158" s="53" t="s">
        <v>145</v>
      </c>
      <c r="D158" s="53" t="s">
        <v>146</v>
      </c>
      <c r="E158" s="53">
        <v>5</v>
      </c>
      <c r="AP158" s="53">
        <v>2</v>
      </c>
      <c r="AQ158" s="53">
        <v>2</v>
      </c>
      <c r="AT158" s="53">
        <v>2</v>
      </c>
      <c r="BA158" s="53">
        <v>1</v>
      </c>
      <c r="BD158" s="53">
        <v>1</v>
      </c>
      <c r="BF158" s="53">
        <v>6</v>
      </c>
      <c r="BG158" s="53">
        <v>3</v>
      </c>
      <c r="BH158" s="53">
        <v>5</v>
      </c>
    </row>
    <row r="159" spans="4:57" ht="12.75">
      <c r="D159" s="53" t="s">
        <v>210</v>
      </c>
      <c r="E159" s="53">
        <v>5</v>
      </c>
      <c r="H159" s="53">
        <v>2</v>
      </c>
      <c r="I159" s="53">
        <v>1</v>
      </c>
      <c r="J159" s="53">
        <v>2</v>
      </c>
      <c r="Q159" s="53">
        <v>1</v>
      </c>
      <c r="S159" s="53">
        <v>3</v>
      </c>
      <c r="X159" s="53">
        <v>1</v>
      </c>
      <c r="Z159" s="53">
        <v>2</v>
      </c>
      <c r="AA159" s="53">
        <v>4</v>
      </c>
      <c r="AH159" s="53">
        <v>2</v>
      </c>
      <c r="BC159" s="53">
        <v>1</v>
      </c>
      <c r="BE159" s="53">
        <v>2</v>
      </c>
    </row>
    <row r="160" spans="3:5" ht="12.75">
      <c r="C160" s="53" t="s">
        <v>387</v>
      </c>
      <c r="D160" s="53" t="s">
        <v>388</v>
      </c>
      <c r="E160" s="53">
        <v>5</v>
      </c>
    </row>
    <row r="161" spans="3:61" ht="12.75">
      <c r="C161" s="53" t="s">
        <v>53</v>
      </c>
      <c r="D161" s="53" t="s">
        <v>113</v>
      </c>
      <c r="E161" s="53">
        <v>5</v>
      </c>
      <c r="H161" s="53">
        <v>5</v>
      </c>
      <c r="I161" s="53">
        <v>4</v>
      </c>
      <c r="J161" s="53">
        <v>7</v>
      </c>
      <c r="K161" s="53">
        <v>11</v>
      </c>
      <c r="L161" s="53">
        <v>4</v>
      </c>
      <c r="P161" s="53">
        <v>8</v>
      </c>
      <c r="Q161" s="53">
        <v>5</v>
      </c>
      <c r="R161" s="53">
        <v>3</v>
      </c>
      <c r="S161" s="53">
        <v>3</v>
      </c>
      <c r="T161" s="53">
        <v>1</v>
      </c>
      <c r="X161" s="53">
        <v>6</v>
      </c>
      <c r="Y161" s="53">
        <v>1</v>
      </c>
      <c r="Z161" s="53">
        <v>2</v>
      </c>
      <c r="AA161" s="53">
        <v>3</v>
      </c>
      <c r="AB161" s="53">
        <v>12</v>
      </c>
      <c r="AG161" s="53">
        <v>21</v>
      </c>
      <c r="AH161" s="53">
        <v>6</v>
      </c>
      <c r="AI161" s="53">
        <v>16</v>
      </c>
      <c r="AJ161" s="53">
        <v>12</v>
      </c>
      <c r="AP161" s="53">
        <v>5</v>
      </c>
      <c r="AQ161" s="53">
        <v>9</v>
      </c>
      <c r="AR161" s="53">
        <v>33</v>
      </c>
      <c r="AS161" s="53">
        <v>41</v>
      </c>
      <c r="AT161" s="53">
        <v>20</v>
      </c>
      <c r="AZ161" s="53">
        <v>14</v>
      </c>
      <c r="BA161" s="53">
        <v>4</v>
      </c>
      <c r="BB161" s="53">
        <v>6</v>
      </c>
      <c r="BD161" s="53">
        <v>1</v>
      </c>
      <c r="BE161" s="53">
        <v>2</v>
      </c>
      <c r="BF161" s="53">
        <v>1</v>
      </c>
      <c r="BG161" s="53">
        <v>3</v>
      </c>
      <c r="BH161" s="53">
        <v>17</v>
      </c>
      <c r="BI161" s="53">
        <v>4</v>
      </c>
    </row>
    <row r="162" spans="3:61" ht="12.75">
      <c r="C162" s="53" t="s">
        <v>250</v>
      </c>
      <c r="D162" s="53" t="s">
        <v>139</v>
      </c>
      <c r="E162" s="53">
        <v>5</v>
      </c>
      <c r="AH162" s="53">
        <v>1</v>
      </c>
      <c r="AT162" s="53">
        <v>1</v>
      </c>
      <c r="AZ162" s="53">
        <v>1</v>
      </c>
      <c r="BA162" s="53">
        <v>2</v>
      </c>
      <c r="BC162" s="53">
        <v>2</v>
      </c>
      <c r="BD162" s="53">
        <v>1</v>
      </c>
      <c r="BF162" s="53">
        <v>3</v>
      </c>
      <c r="BG162" s="53">
        <v>1</v>
      </c>
      <c r="BH162" s="53">
        <v>3</v>
      </c>
      <c r="BI162" s="53">
        <v>5</v>
      </c>
    </row>
    <row r="163" spans="4:60" ht="12.75">
      <c r="D163" s="53" t="s">
        <v>283</v>
      </c>
      <c r="E163" s="53">
        <v>5</v>
      </c>
      <c r="H163" s="53">
        <v>1</v>
      </c>
      <c r="J163" s="53">
        <v>1</v>
      </c>
      <c r="P163" s="53">
        <v>2</v>
      </c>
      <c r="AA163" s="53">
        <v>6</v>
      </c>
      <c r="AG163" s="53">
        <v>2</v>
      </c>
      <c r="AH163" s="53">
        <v>1</v>
      </c>
      <c r="AJ163" s="53">
        <v>2</v>
      </c>
      <c r="AP163" s="53">
        <v>1</v>
      </c>
      <c r="BB163" s="53">
        <v>2</v>
      </c>
      <c r="BC163" s="53">
        <v>2</v>
      </c>
      <c r="BD163" s="53">
        <v>3</v>
      </c>
      <c r="BE163" s="53">
        <v>2</v>
      </c>
      <c r="BG163" s="53">
        <v>1</v>
      </c>
      <c r="BH163" s="53">
        <v>1</v>
      </c>
    </row>
    <row r="164" spans="3:56" ht="12.75">
      <c r="C164" s="53" t="s">
        <v>495</v>
      </c>
      <c r="D164" s="53" t="s">
        <v>496</v>
      </c>
      <c r="E164" s="53">
        <v>5</v>
      </c>
      <c r="BD164" s="53">
        <v>1</v>
      </c>
    </row>
    <row r="165" spans="2:57" ht="12.75">
      <c r="B165" s="53" t="s">
        <v>451</v>
      </c>
      <c r="C165" s="53" t="s">
        <v>452</v>
      </c>
      <c r="D165" s="53" t="s">
        <v>453</v>
      </c>
      <c r="E165" s="53">
        <v>5</v>
      </c>
      <c r="Z165" s="53">
        <v>1</v>
      </c>
      <c r="BE165" s="53">
        <v>1</v>
      </c>
    </row>
    <row r="166" spans="2:60" ht="12.75">
      <c r="B166" s="53" t="s">
        <v>499</v>
      </c>
      <c r="C166" s="53" t="s">
        <v>498</v>
      </c>
      <c r="D166" s="53" t="s">
        <v>500</v>
      </c>
      <c r="E166" s="53">
        <v>5</v>
      </c>
      <c r="BH166" s="53">
        <v>1</v>
      </c>
    </row>
    <row r="167" spans="2:5" ht="12.75">
      <c r="B167" s="53" t="s">
        <v>185</v>
      </c>
      <c r="C167" s="53" t="s">
        <v>186</v>
      </c>
      <c r="D167" s="53" t="s">
        <v>187</v>
      </c>
      <c r="E167" s="53">
        <v>5</v>
      </c>
    </row>
    <row r="168" spans="3:5" ht="12.75">
      <c r="C168" s="53" t="s">
        <v>74</v>
      </c>
      <c r="D168" s="53" t="s">
        <v>132</v>
      </c>
      <c r="E168" s="53">
        <v>5</v>
      </c>
    </row>
    <row r="172" spans="2:61" ht="12.75">
      <c r="B172" s="54"/>
      <c r="D172" s="53" t="s">
        <v>100</v>
      </c>
      <c r="E172"/>
      <c r="H172" s="53">
        <f>SUM(H13:H168)</f>
        <v>596</v>
      </c>
      <c r="I172" s="53">
        <f>SUM(I13:I168)</f>
        <v>607</v>
      </c>
      <c r="J172" s="53">
        <f>SUM(J13:J168)</f>
        <v>707</v>
      </c>
      <c r="K172" s="53">
        <f>SUM(K13:K168)</f>
        <v>595</v>
      </c>
      <c r="L172" s="53">
        <f>SUM(L13:L168)</f>
        <v>667</v>
      </c>
      <c r="P172" s="53">
        <f>SUM(P13:P168)</f>
        <v>738</v>
      </c>
      <c r="Q172" s="53">
        <f>SUM(Q13:Q168)</f>
        <v>708</v>
      </c>
      <c r="R172" s="53">
        <f>SUM(R13:R168)</f>
        <v>564</v>
      </c>
      <c r="S172" s="53">
        <f>SUM(S13:S168)</f>
        <v>541</v>
      </c>
      <c r="T172" s="53">
        <f>SUM(T13:T168)</f>
        <v>587</v>
      </c>
      <c r="X172" s="53">
        <f>SUM(X13:X168)</f>
        <v>877</v>
      </c>
      <c r="Y172" s="53">
        <f>SUM(Y13:Y168)</f>
        <v>498</v>
      </c>
      <c r="Z172" s="53">
        <f>SUM(Z13:Z168)</f>
        <v>812</v>
      </c>
      <c r="AA172" s="53">
        <f>SUM(AA13:AA168)</f>
        <v>588</v>
      </c>
      <c r="AB172" s="53">
        <f>SUM(AB13:AB168)</f>
        <v>932</v>
      </c>
      <c r="AF172" s="53">
        <f>SUM(AF13:AF168)</f>
        <v>280</v>
      </c>
      <c r="AG172" s="53">
        <f>SUM(AG13:AG168)</f>
        <v>266</v>
      </c>
      <c r="AH172" s="53">
        <f>SUM(AH13:AH168)</f>
        <v>384</v>
      </c>
      <c r="AI172" s="53">
        <f>SUM(AI13:AI168)</f>
        <v>281</v>
      </c>
      <c r="AJ172" s="53">
        <f>SUM(AJ13:AJ168)</f>
        <v>240</v>
      </c>
      <c r="AP172" s="53">
        <f>SUM(AP13:AP168)</f>
        <v>246</v>
      </c>
      <c r="AQ172" s="53">
        <f>SUM(AQ13:AQ168)</f>
        <v>312</v>
      </c>
      <c r="AR172" s="53">
        <f>SUM(AR13:AR168)</f>
        <v>342</v>
      </c>
      <c r="AS172" s="53">
        <f>SUM(AS13:AS168)</f>
        <v>281</v>
      </c>
      <c r="AT172" s="53">
        <f>SUM(AT13:AT168)</f>
        <v>250</v>
      </c>
      <c r="AZ172" s="53">
        <f aca="true" t="shared" si="0" ref="AZ172:BI172">SUM(AZ13:AZ168)</f>
        <v>211</v>
      </c>
      <c r="BA172" s="53">
        <f t="shared" si="0"/>
        <v>286</v>
      </c>
      <c r="BB172" s="53">
        <f t="shared" si="0"/>
        <v>256</v>
      </c>
      <c r="BC172" s="53">
        <f t="shared" si="0"/>
        <v>295</v>
      </c>
      <c r="BD172" s="53">
        <f t="shared" si="0"/>
        <v>303</v>
      </c>
      <c r="BE172" s="53">
        <f t="shared" si="0"/>
        <v>285</v>
      </c>
      <c r="BF172" s="53">
        <f t="shared" si="0"/>
        <v>258</v>
      </c>
      <c r="BG172" s="53">
        <f t="shared" si="0"/>
        <v>408</v>
      </c>
      <c r="BH172" s="53">
        <f t="shared" si="0"/>
        <v>240</v>
      </c>
      <c r="BI172" s="53">
        <f t="shared" si="0"/>
        <v>229</v>
      </c>
    </row>
    <row r="173" spans="2:61" ht="12.75">
      <c r="B173" s="54"/>
      <c r="D173" s="53" t="s">
        <v>324</v>
      </c>
      <c r="E173"/>
      <c r="H173" s="53">
        <f>COUNT(H13:H168)</f>
        <v>31</v>
      </c>
      <c r="I173" s="53">
        <f>COUNT(I13:I168)</f>
        <v>31</v>
      </c>
      <c r="J173" s="53">
        <f>COUNT(J13:J168)</f>
        <v>38</v>
      </c>
      <c r="K173" s="53">
        <f>COUNT(K13:K168)</f>
        <v>25</v>
      </c>
      <c r="L173" s="53">
        <f>COUNT(L13:L168)</f>
        <v>16</v>
      </c>
      <c r="P173" s="53">
        <f>COUNT(P13:P168)</f>
        <v>38</v>
      </c>
      <c r="Q173" s="53">
        <f>COUNT(Q13:Q168)</f>
        <v>39</v>
      </c>
      <c r="R173" s="53">
        <f>COUNT(R13:R168)</f>
        <v>22</v>
      </c>
      <c r="S173" s="53">
        <f>COUNT(S13:S168)</f>
        <v>39</v>
      </c>
      <c r="T173" s="53">
        <f>COUNT(T13:T168)</f>
        <v>32</v>
      </c>
      <c r="X173" s="53">
        <f>COUNT(X13:X168)</f>
        <v>34</v>
      </c>
      <c r="Y173" s="53">
        <f>COUNT(Y13:Y168)</f>
        <v>35</v>
      </c>
      <c r="Z173" s="53">
        <f>COUNT(Z13:Z168)</f>
        <v>38</v>
      </c>
      <c r="AA173" s="53">
        <f>COUNT(AA13:AA168)</f>
        <v>40</v>
      </c>
      <c r="AB173" s="53">
        <f>COUNT(AB13:AB168)</f>
        <v>23</v>
      </c>
      <c r="AF173" s="53">
        <f>COUNT(AF13:AF168)</f>
        <v>23</v>
      </c>
      <c r="AG173" s="53">
        <f>COUNT(AG13:AG168)</f>
        <v>32</v>
      </c>
      <c r="AH173" s="53">
        <f>COUNT(AH13:AH168)</f>
        <v>37</v>
      </c>
      <c r="AI173" s="53">
        <f>COUNT(AI13:AI168)</f>
        <v>28</v>
      </c>
      <c r="AJ173" s="53">
        <f>COUNT(AJ13:AJ168)</f>
        <v>26</v>
      </c>
      <c r="AP173" s="53">
        <f>COUNT(AP13:AP168)</f>
        <v>30</v>
      </c>
      <c r="AQ173" s="53">
        <f>COUNT(AQ13:AQ168)</f>
        <v>30</v>
      </c>
      <c r="AR173" s="53">
        <f>COUNT(AR13:AR168)</f>
        <v>29</v>
      </c>
      <c r="AS173" s="53">
        <f>COUNT(AS13:AS168)</f>
        <v>29</v>
      </c>
      <c r="AT173" s="53">
        <f>COUNT(AT13:AT168)</f>
        <v>26</v>
      </c>
      <c r="AZ173" s="53">
        <f aca="true" t="shared" si="1" ref="AZ173:BI173">COUNT(AZ13:AZ168)</f>
        <v>36</v>
      </c>
      <c r="BA173" s="53">
        <f t="shared" si="1"/>
        <v>36</v>
      </c>
      <c r="BB173" s="53">
        <f t="shared" si="1"/>
        <v>35</v>
      </c>
      <c r="BC173" s="53">
        <f t="shared" si="1"/>
        <v>31</v>
      </c>
      <c r="BD173" s="53">
        <f t="shared" si="1"/>
        <v>31</v>
      </c>
      <c r="BE173" s="53">
        <f t="shared" si="1"/>
        <v>32</v>
      </c>
      <c r="BF173" s="53">
        <f t="shared" si="1"/>
        <v>32</v>
      </c>
      <c r="BG173" s="53">
        <f t="shared" si="1"/>
        <v>28</v>
      </c>
      <c r="BH173" s="53">
        <f t="shared" si="1"/>
        <v>32</v>
      </c>
      <c r="BI173" s="53">
        <f t="shared" si="1"/>
        <v>22</v>
      </c>
    </row>
    <row r="174" spans="2:5" ht="12.75">
      <c r="B174" s="54"/>
      <c r="E174"/>
    </row>
    <row r="175" spans="2:61" s="64" customFormat="1" ht="14.25">
      <c r="B175" s="65"/>
      <c r="D175" s="64" t="s">
        <v>101</v>
      </c>
      <c r="E175"/>
      <c r="H175" s="64">
        <f>H172*(1/H7)*IF(H6=3,"3.70",IF(H6=2,"5.56",IF(H6=1,"11.11")))</f>
        <v>52972.479999999996</v>
      </c>
      <c r="I175" s="64">
        <f>I172*(1/I7)*IF(I6=3,"3.70",IF(I6=2,"5.56",IF(I6=1,"11.11")))</f>
        <v>71933.54666666666</v>
      </c>
      <c r="J175" s="64">
        <f>J172*(1/J7)*IF(J6=3,"3.70",IF(J6=2,"5.56",IF(J6=1,"11.11")))</f>
        <v>167568.42666666664</v>
      </c>
      <c r="K175" s="64">
        <f>K172*(1/K7)*IF(K6=3,"3.70",IF(K6=2,"5.56",IF(K6=1,"11.11")))</f>
        <v>35255.73333333333</v>
      </c>
      <c r="L175" s="64">
        <f>L172*(1/L7)*IF(L6=3,"3.70",IF(L6=2,"5.56",IF(L6=1,"11.11")))</f>
        <v>118565.92</v>
      </c>
      <c r="P175" s="64">
        <f>P172*(1/P7)*IF(P6=3,"3.70",IF(P6=2,"5.56",IF(P6=1,"11.11")))</f>
        <v>32796.72</v>
      </c>
      <c r="Q175" s="64">
        <f>Q172*(1/Q7)*IF(Q6=3,"3.70",IF(Q6=2,"5.56",IF(Q6=1,"11.11")))</f>
        <v>31463.519999999997</v>
      </c>
      <c r="R175" s="64">
        <f>R172*(1/R7)*IF(R6=3,"3.70",IF(R6=2,"5.56",IF(R6=1,"11.11")))</f>
        <v>50128.32</v>
      </c>
      <c r="S175" s="64">
        <f>S172*(1/S7)*IF(S6=3,"3.70",IF(S6=2,"5.56",IF(S6=1,"11.11")))</f>
        <v>96168.15999999999</v>
      </c>
      <c r="T175" s="64">
        <f>T172*(1/T7)*IF(T6=3,"3.70",IF(T6=2,"5.56",IF(T6=1,"11.11")))</f>
        <v>52172.56</v>
      </c>
      <c r="X175" s="64">
        <f>X172*(1/X7)*IF(X6=3,"3.70",IF(X6=2,"5.56",IF(X6=1,"11.11")))</f>
        <v>19486.94</v>
      </c>
      <c r="Y175" s="64">
        <f>Y172*(1/Y7)*IF(Y6=3,"3.70",IF(Y6=2,"5.56",IF(Y6=1,"11.11")))</f>
        <v>5532.78</v>
      </c>
      <c r="Z175" s="64">
        <f>Z172*(1/Z7)*IF(Z6=3,"3.70",IF(Z6=2,"5.56",IF(Z6=1,"11.11")))</f>
        <v>36085.28</v>
      </c>
      <c r="AA175" s="64">
        <f>AA172*(1/AA7)*IF(AA6=3,"3.70",IF(AA6=2,"5.56",IF(AA6=1,"11.11")))</f>
        <v>17420.48</v>
      </c>
      <c r="AB175" s="64">
        <f>AB172*(1/AB7)*IF(AB6=3,"3.70",IF(AB6=2,"5.56",IF(AB6=1,"11.11")))</f>
        <v>165672.31999999998</v>
      </c>
      <c r="AF175" s="64">
        <f>AF172*(1/AF7)*IF(AF6=3,"3.70",IF(AF6=2,"5.56",IF(AF6=1,"11.11")))</f>
        <v>49772.799999999996</v>
      </c>
      <c r="AG175" s="64">
        <f>AG172*(1/AG7)*IF(AG6=3,"3.70",IF(AG6=2,"5.56",IF(AG6=1,"11.11")))</f>
        <v>23642.079999999998</v>
      </c>
      <c r="AH175" s="64">
        <f>AH172*(1/AH7)*IF(AH6=3,"3.70",IF(AH6=2,"5.56",IF(AH6=1,"11.11")))</f>
        <v>136519.68</v>
      </c>
      <c r="AI175" s="64">
        <f>AI172*(1/AI7)*IF(AI6=3,"3.70",IF(AI6=2,"5.56",IF(AI6=1,"11.11")))</f>
        <v>49950.56</v>
      </c>
      <c r="AJ175" s="64">
        <f>AJ172*(1/AJ7)*IF(AJ6=3,"3.70",IF(AJ6=2,"5.56",IF(AJ6=1,"11.11")))</f>
        <v>56883.2</v>
      </c>
      <c r="AP175" s="64">
        <f>AP172*(1/AP7)*IF(AP6=3,"3.70",IF(AP6=2,"5.56",IF(AP6=1,"11.11")))</f>
        <v>43728.96</v>
      </c>
      <c r="AQ175" s="64">
        <f>AQ172*(1/AQ7)*IF(AQ6=3,"3.70",IF(AQ6=2,"5.56",IF(AQ6=1,"11.11")))</f>
        <v>36974.08</v>
      </c>
      <c r="AR175" s="64">
        <f>AR172*(1/AR7)*IF(AR6=3,"3.70",IF(AR6=2,"5.56",IF(AR6=1,"11.11")))</f>
        <v>20264.64</v>
      </c>
      <c r="AS175" s="64">
        <f>AS172*(1/AS7)*IF(AS6=3,"3.70",IF(AS6=2,"5.56",IF(AS6=1,"11.11")))</f>
        <v>12487.64</v>
      </c>
      <c r="AT175" s="64">
        <f>AT172*(1/AT7)*IF(AT6=3,"3.70",IF(AT6=2,"5.56",IF(AT6=1,"11.11")))</f>
        <v>14813.333333333332</v>
      </c>
      <c r="AZ175" s="64">
        <f aca="true" t="shared" si="2" ref="AZ175:BI175">AZ172*(1/AZ7)*IF(AZ6=3,"3.70",IF(AZ6=2,"5.56",IF(AZ6=1,"11.11")))</f>
        <v>2344.21</v>
      </c>
      <c r="BA175" s="64">
        <f t="shared" si="2"/>
        <v>12709.84</v>
      </c>
      <c r="BB175" s="64">
        <f t="shared" si="2"/>
        <v>22753.28</v>
      </c>
      <c r="BC175" s="64">
        <f t="shared" si="2"/>
        <v>13109.8</v>
      </c>
      <c r="BD175" s="64">
        <f t="shared" si="2"/>
        <v>17953.76</v>
      </c>
      <c r="BE175" s="64">
        <f t="shared" si="2"/>
        <v>4052.928</v>
      </c>
      <c r="BF175" s="64">
        <f t="shared" si="2"/>
        <v>11465.519999999999</v>
      </c>
      <c r="BG175" s="64">
        <f t="shared" si="2"/>
        <v>36263.04</v>
      </c>
      <c r="BH175" s="64">
        <f t="shared" si="2"/>
        <v>10665.599999999999</v>
      </c>
      <c r="BI175" s="64">
        <f t="shared" si="2"/>
        <v>10176.76</v>
      </c>
    </row>
    <row r="176" spans="2:61" ht="12.75">
      <c r="B176" s="54"/>
      <c r="D176" s="53" t="s">
        <v>102</v>
      </c>
      <c r="E176"/>
      <c r="F176" s="66"/>
      <c r="G176" s="66"/>
      <c r="H176" s="66">
        <f>SUMPRODUCT($E$13:$E$168*H13:H168)/H172</f>
        <v>4.471476510067114</v>
      </c>
      <c r="I176" s="66">
        <f>SUMPRODUCT($E$13:$E$168*I13:I168)/I172</f>
        <v>4.640856672158155</v>
      </c>
      <c r="J176" s="66">
        <f>SUMPRODUCT($E$13:$E$168*J13:J168)/J172</f>
        <v>5.176803394625177</v>
      </c>
      <c r="K176" s="66">
        <f>SUMPRODUCT($E$13:$E$168*K13:K168)/K172</f>
        <v>5.2672268907563025</v>
      </c>
      <c r="L176" s="66">
        <f>SUMPRODUCT($E$13:$E$168*L13:L168)/L172</f>
        <v>5.229385307346327</v>
      </c>
      <c r="M176" s="66"/>
      <c r="N176" s="66"/>
      <c r="O176" s="66"/>
      <c r="P176" s="66">
        <f>SUMPRODUCT($E$13:$E$168*P13:P168)/P172</f>
        <v>3.2628726287262872</v>
      </c>
      <c r="Q176" s="66">
        <f>SUMPRODUCT($E$13:$E$168*Q13:Q168)/Q172</f>
        <v>3.4731638418079096</v>
      </c>
      <c r="R176" s="66">
        <f>SUMPRODUCT($E$13:$E$168*R13:R168)/R172</f>
        <v>5.1046099290780145</v>
      </c>
      <c r="S176" s="66">
        <f>SUMPRODUCT($E$13:$E$168*S13:S168)/S172</f>
        <v>3.0018484288354896</v>
      </c>
      <c r="T176" s="66">
        <f>SUMPRODUCT($E$13:$E$168*T13:T168)/T172</f>
        <v>4.2095400340715505</v>
      </c>
      <c r="U176" s="66"/>
      <c r="V176" s="66"/>
      <c r="W176" s="66"/>
      <c r="X176" s="66">
        <f>SUMPRODUCT($E$13:$E$168*X13:X168)/X172</f>
        <v>4.794754846066135</v>
      </c>
      <c r="Y176" s="66">
        <f>SUMPRODUCT($E$13:$E$168*Y13:Y168)/Y172</f>
        <v>2.8152610441767068</v>
      </c>
      <c r="Z176" s="66">
        <f>SUMPRODUCT($E$13:$E$168*Z13:Z168)/Z172</f>
        <v>3.4926108374384235</v>
      </c>
      <c r="AA176" s="66">
        <f>SUMPRODUCT($E$13:$E$168*AA13:AA168)/AA172</f>
        <v>3.6904761904761907</v>
      </c>
      <c r="AB176" s="66">
        <f>SUMPRODUCT($E$13:$E$168*AB13:AB168)/AB172</f>
        <v>5.527896995708154</v>
      </c>
      <c r="AF176" s="66">
        <f>SUMPRODUCT($E$13:$E$168*AF13:AF168)/AF172</f>
        <v>4.8</v>
      </c>
      <c r="AG176" s="66">
        <f>SUMPRODUCT($E$13:$E$168*AG13:AG168)/AG172</f>
        <v>4.996240601503759</v>
      </c>
      <c r="AH176" s="66">
        <f>SUMPRODUCT($E$13:$E$168*AH13:AH168)/AH172</f>
        <v>5.236979166666667</v>
      </c>
      <c r="AI176" s="66">
        <f>SUMPRODUCT($E$13:$E$168*AI13:AI168)/AI172</f>
        <v>4.94661921708185</v>
      </c>
      <c r="AJ176" s="66">
        <f>SUMPRODUCT($E$13:$E$168*AJ13:AJ168)/AJ172</f>
        <v>4.7125</v>
      </c>
      <c r="AP176" s="66">
        <f>SUMPRODUCT($E$13:$E$168*AP13:AP168)/AP172</f>
        <v>3.4186991869918697</v>
      </c>
      <c r="AQ176" s="66">
        <f>SUMPRODUCT($E$13:$E$168*AQ13:AQ168)/AQ172</f>
        <v>4.326923076923077</v>
      </c>
      <c r="AR176" s="66">
        <f>SUMPRODUCT($E$13:$E$168*AR13:AR168)/AR172</f>
        <v>4.154970760233918</v>
      </c>
      <c r="AS176" s="66">
        <f>SUMPRODUCT($E$13:$E$168*AS13:AS168)/AS172</f>
        <v>4.637010676156583</v>
      </c>
      <c r="AT176" s="66">
        <f>SUMPRODUCT($E$13:$E$168*AT13:AT168)/AT172</f>
        <v>5.68</v>
      </c>
      <c r="AZ176" s="66">
        <f aca="true" t="shared" si="3" ref="AZ176:BI176">SUMPRODUCT($E$13:$E$168*AZ13:AZ168)/AZ172</f>
        <v>4.293838862559242</v>
      </c>
      <c r="BA176" s="66">
        <f t="shared" si="3"/>
        <v>3.7132867132867133</v>
      </c>
      <c r="BB176" s="66">
        <f t="shared" si="3"/>
        <v>3.92578125</v>
      </c>
      <c r="BC176" s="66">
        <f t="shared" si="3"/>
        <v>3.511864406779661</v>
      </c>
      <c r="BD176" s="66">
        <f t="shared" si="3"/>
        <v>4.089108910891089</v>
      </c>
      <c r="BE176" s="66">
        <f t="shared" si="3"/>
        <v>6.024561403508772</v>
      </c>
      <c r="BF176" s="66">
        <f t="shared" si="3"/>
        <v>4.383720930232558</v>
      </c>
      <c r="BG176" s="66">
        <f t="shared" si="3"/>
        <v>5.264705882352941</v>
      </c>
      <c r="BH176" s="66">
        <f t="shared" si="3"/>
        <v>4.716666666666667</v>
      </c>
      <c r="BI176" s="66">
        <f t="shared" si="3"/>
        <v>5.576419213973799</v>
      </c>
    </row>
    <row r="177" spans="2:61" ht="12.75">
      <c r="B177" s="54"/>
      <c r="D177" s="53" t="s">
        <v>512</v>
      </c>
      <c r="E177"/>
      <c r="F177" s="66"/>
      <c r="G177" s="66"/>
      <c r="H177" s="66">
        <f>100*MAX(H13:H168)/H172</f>
        <v>27.348993288590606</v>
      </c>
      <c r="I177" s="66">
        <f>100*MAX(I13:I168)/I172</f>
        <v>36.40856672158155</v>
      </c>
      <c r="J177" s="66">
        <f>100*MAX(J13:J168)/J172</f>
        <v>26.73267326732673</v>
      </c>
      <c r="K177" s="66">
        <f>100*MAX(K13:K168)/K172</f>
        <v>58.99159663865546</v>
      </c>
      <c r="L177" s="66">
        <f>100*MAX(L13:L168)/L172</f>
        <v>46.026986506746624</v>
      </c>
      <c r="M177" s="66"/>
      <c r="N177" s="66"/>
      <c r="O177" s="66"/>
      <c r="P177" s="66">
        <f>100*MAX(P13:P168)/P172</f>
        <v>29.40379403794038</v>
      </c>
      <c r="Q177" s="66">
        <f>100*MAX(Q13:Q168)/Q172</f>
        <v>36.440677966101696</v>
      </c>
      <c r="R177" s="66">
        <f>100*MAX(R13:R168)/R172</f>
        <v>52.4822695035461</v>
      </c>
      <c r="S177" s="66">
        <f>100*MAX(S13:S168)/S172</f>
        <v>21.44177449168207</v>
      </c>
      <c r="T177" s="66">
        <f>100*MAX(T13:T168)/T172</f>
        <v>34.24190800681431</v>
      </c>
      <c r="U177" s="66"/>
      <c r="V177" s="66"/>
      <c r="W177" s="66"/>
      <c r="X177" s="66">
        <f>100*MAX(X13:X168)/X172</f>
        <v>42.98745724059293</v>
      </c>
      <c r="Y177" s="66">
        <f>100*MAX(Y13:Y168)/Y172</f>
        <v>23.895582329317268</v>
      </c>
      <c r="Z177" s="66">
        <f>100*MAX(Z13:Z168)/Z172</f>
        <v>23.645320197044335</v>
      </c>
      <c r="AA177" s="66">
        <f>100*MAX(AA13:AA168)/AA172</f>
        <v>26.87074829931973</v>
      </c>
      <c r="AB177" s="66">
        <f>100*MAX(AB13:AB168)/AB172</f>
        <v>74.57081545064378</v>
      </c>
      <c r="AF177" s="66">
        <f>100*MAX(AF13:AF168)/AF172</f>
        <v>40.714285714285715</v>
      </c>
      <c r="AG177" s="66">
        <f>100*MAX(AG13:AG168)/AG172</f>
        <v>24.81203007518797</v>
      </c>
      <c r="AH177" s="66">
        <f>100*MAX(AH13:AH168)/AH172</f>
        <v>52.604166666666664</v>
      </c>
      <c r="AI177" s="66">
        <f>100*MAX(AI13:AI168)/AI172</f>
        <v>27.402135231316727</v>
      </c>
      <c r="AJ177" s="66">
        <f>100*MAX(AJ13:AJ168)/AJ172</f>
        <v>31.25</v>
      </c>
      <c r="AP177" s="66">
        <f>100*MAX(AP13:AP168)/AP172</f>
        <v>17.073170731707318</v>
      </c>
      <c r="AQ177" s="66">
        <f>100*MAX(AQ13:AQ168)/AQ172</f>
        <v>49.03846153846154</v>
      </c>
      <c r="AR177" s="66">
        <f>100*MAX(AR13:AR168)/AR172</f>
        <v>61.40350877192982</v>
      </c>
      <c r="AS177" s="66">
        <f>100*MAX(AS13:AS168)/AS172</f>
        <v>32.38434163701068</v>
      </c>
      <c r="AT177" s="66">
        <f>100*MAX(AT13:AT168)/AT172</f>
        <v>28</v>
      </c>
      <c r="AZ177" s="66">
        <f aca="true" t="shared" si="4" ref="AZ177:BI177">100*MAX(AZ13:AZ168)/AZ172</f>
        <v>22.274881516587676</v>
      </c>
      <c r="BA177" s="66">
        <f t="shared" si="4"/>
        <v>23.426573426573427</v>
      </c>
      <c r="BB177" s="66">
        <f t="shared" si="4"/>
        <v>30.46875</v>
      </c>
      <c r="BC177" s="66">
        <f t="shared" si="4"/>
        <v>44.067796610169495</v>
      </c>
      <c r="BD177" s="66">
        <f t="shared" si="4"/>
        <v>37.62376237623762</v>
      </c>
      <c r="BE177" s="66">
        <f t="shared" si="4"/>
        <v>21.403508771929825</v>
      </c>
      <c r="BF177" s="66">
        <f t="shared" si="4"/>
        <v>24.031007751937985</v>
      </c>
      <c r="BG177" s="66">
        <f t="shared" si="4"/>
        <v>39.21568627450981</v>
      </c>
      <c r="BH177" s="66">
        <f t="shared" si="4"/>
        <v>22.5</v>
      </c>
      <c r="BI177" s="66">
        <f t="shared" si="4"/>
        <v>27.074235807860262</v>
      </c>
    </row>
    <row r="178" spans="2:61" ht="12.75">
      <c r="B178" s="54"/>
      <c r="D178" s="53" t="s">
        <v>103</v>
      </c>
      <c r="E178"/>
      <c r="H178" s="53">
        <f>COUNT(H13:H65)</f>
        <v>12</v>
      </c>
      <c r="I178" s="53">
        <f>COUNT(I13:I65)</f>
        <v>13</v>
      </c>
      <c r="J178" s="53">
        <f>COUNT(J13:J65)</f>
        <v>14</v>
      </c>
      <c r="K178" s="53">
        <f>COUNT(K13:K65)</f>
        <v>7</v>
      </c>
      <c r="L178" s="53">
        <f>COUNT(L13:L65)</f>
        <v>4</v>
      </c>
      <c r="P178" s="53">
        <f>COUNT(P13:P65)</f>
        <v>15</v>
      </c>
      <c r="Q178" s="53">
        <f>COUNT(Q13:Q65)</f>
        <v>17</v>
      </c>
      <c r="R178" s="53">
        <f>COUNT(R13:R65)</f>
        <v>7</v>
      </c>
      <c r="S178" s="53">
        <f>COUNT(S13:S65)</f>
        <v>16</v>
      </c>
      <c r="T178" s="53">
        <f>COUNT(T13:T65)</f>
        <v>14</v>
      </c>
      <c r="X178" s="53">
        <f>COUNT(X13:X65)</f>
        <v>9</v>
      </c>
      <c r="Y178" s="53">
        <f>COUNT(Y13:Y65)</f>
        <v>16</v>
      </c>
      <c r="Z178" s="53">
        <f>COUNT(Z13:Z65)</f>
        <v>13</v>
      </c>
      <c r="AA178" s="53">
        <f>COUNT(AA13:AA65)</f>
        <v>17</v>
      </c>
      <c r="AB178" s="53">
        <f>COUNT(AB13:AB65)</f>
        <v>8</v>
      </c>
      <c r="AF178" s="53">
        <f>COUNT(AF13:AF65)</f>
        <v>9</v>
      </c>
      <c r="AG178" s="53">
        <f>COUNT(AG13:AG65)</f>
        <v>8</v>
      </c>
      <c r="AH178" s="53">
        <f>COUNT(AH13:AH65)</f>
        <v>16</v>
      </c>
      <c r="AI178" s="53">
        <f>COUNT(AI13:AI65)</f>
        <v>10</v>
      </c>
      <c r="AJ178" s="53">
        <f>COUNT(AJ13:AJ65)</f>
        <v>14</v>
      </c>
      <c r="AP178" s="53">
        <f>COUNT(AP13:AP65)</f>
        <v>12</v>
      </c>
      <c r="AQ178" s="53">
        <f>COUNT(AQ13:AQ65)</f>
        <v>10</v>
      </c>
      <c r="AR178" s="53">
        <f>COUNT(AR13:AR65)</f>
        <v>10</v>
      </c>
      <c r="AS178" s="53">
        <f>COUNT(AS13:AS65)</f>
        <v>9</v>
      </c>
      <c r="AT178" s="53">
        <f>COUNT(AT13:AT65)</f>
        <v>3</v>
      </c>
      <c r="AZ178" s="53">
        <f aca="true" t="shared" si="5" ref="AZ178:BI178">COUNT(AZ13:AZ65)</f>
        <v>12</v>
      </c>
      <c r="BA178" s="53">
        <f t="shared" si="5"/>
        <v>13</v>
      </c>
      <c r="BB178" s="53">
        <f t="shared" si="5"/>
        <v>12</v>
      </c>
      <c r="BC178" s="53">
        <f t="shared" si="5"/>
        <v>13</v>
      </c>
      <c r="BD178" s="53">
        <f t="shared" si="5"/>
        <v>14</v>
      </c>
      <c r="BE178" s="53">
        <f t="shared" si="5"/>
        <v>10</v>
      </c>
      <c r="BF178" s="53">
        <f t="shared" si="5"/>
        <v>7</v>
      </c>
      <c r="BG178" s="53">
        <f t="shared" si="5"/>
        <v>7</v>
      </c>
      <c r="BH178" s="53">
        <f t="shared" si="5"/>
        <v>7</v>
      </c>
      <c r="BI178" s="53">
        <f t="shared" si="5"/>
        <v>4</v>
      </c>
    </row>
    <row r="179" spans="2:61" ht="12.75">
      <c r="B179" s="54"/>
      <c r="D179" s="53" t="s">
        <v>357</v>
      </c>
      <c r="E179"/>
      <c r="F179" s="66"/>
      <c r="G179" s="66"/>
      <c r="H179" s="66">
        <f>100*SUM(H13:H65)/H172</f>
        <v>18.624161073825505</v>
      </c>
      <c r="I179" s="66">
        <f>100*SUM(I13:I65)/I172</f>
        <v>15.321252059308073</v>
      </c>
      <c r="J179" s="66">
        <f>100*SUM(J13:J65)/J172</f>
        <v>10.608203677510609</v>
      </c>
      <c r="K179" s="66">
        <f>100*SUM(K13:K65)/K172</f>
        <v>5.2100840336134455</v>
      </c>
      <c r="L179" s="66">
        <f>100*SUM(L13:L65)/L172</f>
        <v>10.494752623688155</v>
      </c>
      <c r="M179" s="66"/>
      <c r="N179" s="66"/>
      <c r="O179" s="66"/>
      <c r="P179" s="66">
        <f>100*SUM(P13:P65)/P172</f>
        <v>46.070460704607044</v>
      </c>
      <c r="Q179" s="66">
        <f>100*SUM(Q13:Q65)/Q172</f>
        <v>37.429378531073446</v>
      </c>
      <c r="R179" s="66">
        <f>100*SUM(R13:R65)/R172</f>
        <v>14.184397163120567</v>
      </c>
      <c r="S179" s="66">
        <f>100*SUM(S13:S65)/S172</f>
        <v>55.63770794824399</v>
      </c>
      <c r="T179" s="66">
        <f>100*SUM(T13:T65)/T172</f>
        <v>25.894378194207835</v>
      </c>
      <c r="U179" s="66"/>
      <c r="V179" s="66"/>
      <c r="W179" s="66"/>
      <c r="X179" s="66">
        <f>100*SUM(X13:X65)/X172</f>
        <v>22.234891676168758</v>
      </c>
      <c r="Y179" s="66">
        <f>100*SUM(Y13:Y65)/Y172</f>
        <v>65.66265060240964</v>
      </c>
      <c r="Z179" s="66">
        <f>100*SUM(Z13:Z65)/Z172</f>
        <v>55.04926108374384</v>
      </c>
      <c r="AA179" s="66">
        <f>100*SUM(AA13:AA65)/AA172</f>
        <v>56.802721088435376</v>
      </c>
      <c r="AB179" s="66">
        <f>100*SUM(AB13:AB65)/AB172</f>
        <v>3.111587982832618</v>
      </c>
      <c r="AF179" s="66">
        <f>100*SUM(AF13:AF65)/AF172</f>
        <v>12.142857142857142</v>
      </c>
      <c r="AG179" s="66">
        <f>100*SUM(AG13:AG65)/AG172</f>
        <v>10.150375939849624</v>
      </c>
      <c r="AH179" s="66">
        <f>100*SUM(AH13:AH65)/AH172</f>
        <v>13.020833333333334</v>
      </c>
      <c r="AI179" s="66">
        <f>100*SUM(AI13:AI65)/AI172</f>
        <v>12.455516014234876</v>
      </c>
      <c r="AJ179" s="66">
        <f>100*SUM(AJ13:AJ65)/AJ172</f>
        <v>15</v>
      </c>
      <c r="AP179" s="66">
        <f>100*SUM(AP13:AP65)/AP172</f>
        <v>47.5609756097561</v>
      </c>
      <c r="AQ179" s="66">
        <f>100*SUM(AQ13:AQ65)/AQ172</f>
        <v>14.102564102564102</v>
      </c>
      <c r="AR179" s="66">
        <f>100*SUM(AR13:AR65)/AR172</f>
        <v>9.064327485380117</v>
      </c>
      <c r="AS179" s="66">
        <f>100*SUM(AS13:AS65)/AS172</f>
        <v>10.676156583629894</v>
      </c>
      <c r="AT179" s="66">
        <f>100*SUM(AT13:AT65)/AT172</f>
        <v>2</v>
      </c>
      <c r="AZ179" s="66">
        <f aca="true" t="shared" si="6" ref="AZ179:BI179">100*SUM(AZ13:AZ65)/AZ172</f>
        <v>36.018957345971565</v>
      </c>
      <c r="BA179" s="66">
        <f t="shared" si="6"/>
        <v>51.04895104895105</v>
      </c>
      <c r="BB179" s="66">
        <f t="shared" si="6"/>
        <v>56.25</v>
      </c>
      <c r="BC179" s="66">
        <f t="shared" si="6"/>
        <v>74.57627118644068</v>
      </c>
      <c r="BD179" s="66">
        <f t="shared" si="6"/>
        <v>59.07590759075907</v>
      </c>
      <c r="BE179" s="66">
        <f t="shared" si="6"/>
        <v>7.719298245614035</v>
      </c>
      <c r="BF179" s="66">
        <f t="shared" si="6"/>
        <v>22.868217054263567</v>
      </c>
      <c r="BG179" s="66">
        <f t="shared" si="6"/>
        <v>8.823529411764707</v>
      </c>
      <c r="BH179" s="66">
        <f t="shared" si="6"/>
        <v>19.583333333333332</v>
      </c>
      <c r="BI179" s="66">
        <f t="shared" si="6"/>
        <v>3.056768558951965</v>
      </c>
    </row>
    <row r="180" spans="2:61" ht="12.75">
      <c r="B180" s="54"/>
      <c r="D180" s="53" t="s">
        <v>358</v>
      </c>
      <c r="E180"/>
      <c r="F180" s="66"/>
      <c r="G180" s="66"/>
      <c r="H180" s="66">
        <f>100*COUNT(H13:H65)/H173</f>
        <v>38.70967741935484</v>
      </c>
      <c r="I180" s="66">
        <f>100*COUNT(I13:I65)/I173</f>
        <v>41.935483870967744</v>
      </c>
      <c r="J180" s="66">
        <f>100*COUNT(J13:J65)/J173</f>
        <v>36.8421052631579</v>
      </c>
      <c r="K180" s="66">
        <f>100*COUNT(K13:K65)/K173</f>
        <v>28</v>
      </c>
      <c r="L180" s="66">
        <f>100*COUNT(L13:L65)/L173</f>
        <v>25</v>
      </c>
      <c r="M180" s="66"/>
      <c r="N180" s="66"/>
      <c r="O180" s="66"/>
      <c r="P180" s="66">
        <f>100*COUNT(P13:P65)/P173</f>
        <v>39.473684210526315</v>
      </c>
      <c r="Q180" s="66">
        <f>100*COUNT(Q13:Q65)/Q173</f>
        <v>43.58974358974359</v>
      </c>
      <c r="R180" s="66">
        <f>100*COUNT(R13:R65)/R173</f>
        <v>31.818181818181817</v>
      </c>
      <c r="S180" s="66">
        <f>100*COUNT(S13:S65)/S173</f>
        <v>41.02564102564103</v>
      </c>
      <c r="T180" s="66">
        <f>100*COUNT(T13:T65)/T173</f>
        <v>43.75</v>
      </c>
      <c r="U180" s="66"/>
      <c r="V180" s="66"/>
      <c r="W180" s="66"/>
      <c r="X180" s="66">
        <f>100*COUNT(X13:X65)/X173</f>
        <v>26.470588235294116</v>
      </c>
      <c r="Y180" s="66">
        <f>100*COUNT(Y13:Y65)/Y173</f>
        <v>45.714285714285715</v>
      </c>
      <c r="Z180" s="66">
        <f>100*COUNT(Z13:Z65)/Z173</f>
        <v>34.21052631578947</v>
      </c>
      <c r="AA180" s="66">
        <f>100*COUNT(AA13:AA65)/AA173</f>
        <v>42.5</v>
      </c>
      <c r="AB180" s="66">
        <f>100*COUNT(AB13:AB65)/AB173</f>
        <v>34.78260869565217</v>
      </c>
      <c r="AF180" s="66">
        <f>100*COUNT(AF13:AF65)/AF173</f>
        <v>39.130434782608695</v>
      </c>
      <c r="AG180" s="66">
        <f>100*COUNT(AG13:AG65)/AG173</f>
        <v>25</v>
      </c>
      <c r="AH180" s="66">
        <f>100*COUNT(AH13:AH65)/AH173</f>
        <v>43.24324324324324</v>
      </c>
      <c r="AI180" s="66">
        <f>100*COUNT(AI13:AI65)/AI173</f>
        <v>35.714285714285715</v>
      </c>
      <c r="AJ180" s="66">
        <f>100*COUNT(AJ13:AJ65)/AJ173</f>
        <v>53.84615384615385</v>
      </c>
      <c r="AP180" s="66">
        <f>100*COUNT(AP13:AP65)/AP173</f>
        <v>40</v>
      </c>
      <c r="AQ180" s="66">
        <f>100*COUNT(AQ13:AQ65)/AQ173</f>
        <v>33.333333333333336</v>
      </c>
      <c r="AR180" s="66">
        <f>100*COUNT(AR13:AR65)/AR173</f>
        <v>34.48275862068966</v>
      </c>
      <c r="AS180" s="66">
        <f>100*COUNT(AS13:AS65)/AS173</f>
        <v>31.03448275862069</v>
      </c>
      <c r="AT180" s="66">
        <f>100*COUNT(AT13:AT65)/AT173</f>
        <v>11.538461538461538</v>
      </c>
      <c r="AZ180" s="66">
        <f aca="true" t="shared" si="7" ref="AZ180:BI180">100*COUNT(AZ13:AZ65)/AZ173</f>
        <v>33.333333333333336</v>
      </c>
      <c r="BA180" s="66">
        <f t="shared" si="7"/>
        <v>36.111111111111114</v>
      </c>
      <c r="BB180" s="66">
        <f t="shared" si="7"/>
        <v>34.285714285714285</v>
      </c>
      <c r="BC180" s="66">
        <f t="shared" si="7"/>
        <v>41.935483870967744</v>
      </c>
      <c r="BD180" s="66">
        <f t="shared" si="7"/>
        <v>45.16129032258065</v>
      </c>
      <c r="BE180" s="66">
        <f t="shared" si="7"/>
        <v>31.25</v>
      </c>
      <c r="BF180" s="66">
        <f t="shared" si="7"/>
        <v>21.875</v>
      </c>
      <c r="BG180" s="66">
        <f t="shared" si="7"/>
        <v>25</v>
      </c>
      <c r="BH180" s="66">
        <f t="shared" si="7"/>
        <v>21.875</v>
      </c>
      <c r="BI180" s="66">
        <f t="shared" si="7"/>
        <v>18.181818181818183</v>
      </c>
    </row>
    <row r="181" spans="2:61" ht="12.75">
      <c r="B181" s="54"/>
      <c r="D181" s="53" t="s">
        <v>104</v>
      </c>
      <c r="E181"/>
      <c r="F181" s="66"/>
      <c r="G181" s="66"/>
      <c r="H181" s="66">
        <f>100*SUM(H94:H142)/H172</f>
        <v>50.50335570469799</v>
      </c>
      <c r="I181" s="66">
        <f>100*SUM(I94:I142)/I172</f>
        <v>50.57660626029654</v>
      </c>
      <c r="J181" s="66">
        <f>100*SUM(J94:J142)/J172</f>
        <v>65.48797736916549</v>
      </c>
      <c r="K181" s="66">
        <f>100*SUM(K94:K142)/K172</f>
        <v>67.73109243697479</v>
      </c>
      <c r="L181" s="66">
        <f>100*SUM(L94:L142)/L172</f>
        <v>72.86356821589206</v>
      </c>
      <c r="M181" s="66"/>
      <c r="N181" s="66"/>
      <c r="O181" s="66"/>
      <c r="P181" s="66">
        <f>100*SUM(P94:P142)/P172</f>
        <v>21.00271002710027</v>
      </c>
      <c r="Q181" s="66">
        <f>100*SUM(Q94:Q142)/Q172</f>
        <v>22.175141242937855</v>
      </c>
      <c r="R181" s="66">
        <f>100*SUM(R94:R142)/R172</f>
        <v>68.97163120567376</v>
      </c>
      <c r="S181" s="66">
        <f>100*SUM(S94:S142)/S172</f>
        <v>17.744916820702404</v>
      </c>
      <c r="T181" s="66">
        <f>100*SUM(T94:T142)/T172</f>
        <v>45.14480408858603</v>
      </c>
      <c r="U181" s="66"/>
      <c r="V181" s="66"/>
      <c r="W181" s="66"/>
      <c r="X181" s="66">
        <f>100*SUM(X94:X142)/X172</f>
        <v>66.70467502850627</v>
      </c>
      <c r="Y181" s="66">
        <f>100*SUM(Y94:Y142)/Y172</f>
        <v>28.91566265060241</v>
      </c>
      <c r="Z181" s="66">
        <f>100*SUM(Z94:Z142)/Z172</f>
        <v>28.817733990147783</v>
      </c>
      <c r="AA181" s="66">
        <f>100*SUM(AA94:AA142)/AA172</f>
        <v>35.034013605442176</v>
      </c>
      <c r="AB181" s="66">
        <f>100*SUM(AB94:AB142)/AB172</f>
        <v>89.91416309012875</v>
      </c>
      <c r="AF181" s="66">
        <f>100*SUM(AF94:AF142)/AF172</f>
        <v>44.285714285714285</v>
      </c>
      <c r="AG181" s="66">
        <f>100*SUM(AG94:AG142)/AG172</f>
        <v>46.61654135338346</v>
      </c>
      <c r="AH181" s="66">
        <f>100*SUM(AH94:AH142)/AH172</f>
        <v>69.53125</v>
      </c>
      <c r="AI181" s="66">
        <f>100*SUM(AI94:AI142)/AI172</f>
        <v>53.02491103202847</v>
      </c>
      <c r="AJ181" s="66">
        <f>100*SUM(AJ94:AJ142)/AJ172</f>
        <v>48.333333333333336</v>
      </c>
      <c r="AP181" s="66">
        <f>100*SUM(AP94:AP142)/AP172</f>
        <v>25.609756097560975</v>
      </c>
      <c r="AQ181" s="66">
        <f>100*SUM(AQ94:AQ142)/AQ172</f>
        <v>24.03846153846154</v>
      </c>
      <c r="AR181" s="66">
        <f>100*SUM(AR94:AR142)/AR172</f>
        <v>12.573099415204679</v>
      </c>
      <c r="AS181" s="66">
        <f>100*SUM(AS94:AS142)/AS172</f>
        <v>35.23131672597865</v>
      </c>
      <c r="AT181" s="66">
        <f>100*SUM(AT94:AT142)/AT172</f>
        <v>60</v>
      </c>
      <c r="AZ181" s="66">
        <f aca="true" t="shared" si="8" ref="AZ181:BI181">100*SUM(AZ94:AZ142)/AZ172</f>
        <v>36.018957345971565</v>
      </c>
      <c r="BA181" s="66">
        <f t="shared" si="8"/>
        <v>10.48951048951049</v>
      </c>
      <c r="BB181" s="66">
        <f t="shared" si="8"/>
        <v>19.53125</v>
      </c>
      <c r="BC181" s="66">
        <f t="shared" si="8"/>
        <v>11.525423728813559</v>
      </c>
      <c r="BD181" s="66">
        <f t="shared" si="8"/>
        <v>25.41254125412541</v>
      </c>
      <c r="BE181" s="66">
        <f t="shared" si="8"/>
        <v>41.05263157894737</v>
      </c>
      <c r="BF181" s="66">
        <f t="shared" si="8"/>
        <v>43.798449612403104</v>
      </c>
      <c r="BG181" s="66">
        <f t="shared" si="8"/>
        <v>78.43137254901961</v>
      </c>
      <c r="BH181" s="66">
        <f t="shared" si="8"/>
        <v>49.166666666666664</v>
      </c>
      <c r="BI181" s="66">
        <f t="shared" si="8"/>
        <v>41.92139737991266</v>
      </c>
    </row>
    <row r="182" spans="2:61" ht="12.75">
      <c r="B182" s="54"/>
      <c r="D182" s="53" t="s">
        <v>234</v>
      </c>
      <c r="E182"/>
      <c r="F182" s="64"/>
      <c r="G182" s="64"/>
      <c r="H182" s="64">
        <f>COUNT(H94:H142)</f>
        <v>9</v>
      </c>
      <c r="I182" s="64">
        <f>COUNT(I94:I142)</f>
        <v>9</v>
      </c>
      <c r="J182" s="64">
        <f>COUNT(J94:J142)</f>
        <v>12</v>
      </c>
      <c r="K182" s="64">
        <f>COUNT(K94:K142)</f>
        <v>8</v>
      </c>
      <c r="L182" s="64">
        <f>COUNT(L94:L142)</f>
        <v>7</v>
      </c>
      <c r="M182" s="64"/>
      <c r="N182" s="64"/>
      <c r="O182" s="64"/>
      <c r="P182" s="64">
        <f>COUNT(P94:P142)</f>
        <v>14</v>
      </c>
      <c r="Q182" s="64">
        <f>COUNT(Q94:Q142)</f>
        <v>11</v>
      </c>
      <c r="R182" s="64">
        <f>COUNT(R94:R142)</f>
        <v>7</v>
      </c>
      <c r="S182" s="64">
        <f>COUNT(S94:S142)</f>
        <v>13</v>
      </c>
      <c r="T182" s="64">
        <f>COUNT(T94:T142)</f>
        <v>7</v>
      </c>
      <c r="U182" s="64"/>
      <c r="V182" s="64"/>
      <c r="W182" s="64"/>
      <c r="X182" s="64">
        <f>COUNT(X94:X142)</f>
        <v>13</v>
      </c>
      <c r="Y182" s="64">
        <f>COUNT(Y94:Y142)</f>
        <v>9</v>
      </c>
      <c r="Z182" s="64">
        <f>COUNT(Z94:Z142)</f>
        <v>11</v>
      </c>
      <c r="AA182" s="64">
        <f>COUNT(AA94:AA142)</f>
        <v>9</v>
      </c>
      <c r="AB182" s="64">
        <f>COUNT(AB94:AB142)</f>
        <v>5</v>
      </c>
      <c r="AF182" s="64">
        <f>COUNT(AF94:AF142)</f>
        <v>8</v>
      </c>
      <c r="AG182" s="64">
        <f>COUNT(AG94:AG142)</f>
        <v>11</v>
      </c>
      <c r="AH182" s="64">
        <f>COUNT(AH94:AH142)</f>
        <v>7</v>
      </c>
      <c r="AI182" s="64">
        <f>COUNT(AI94:AI142)</f>
        <v>8</v>
      </c>
      <c r="AJ182" s="64">
        <f>COUNT(AJ94:AJ142)</f>
        <v>5</v>
      </c>
      <c r="AP182" s="64">
        <f>COUNT(AP94:AP142)</f>
        <v>8</v>
      </c>
      <c r="AQ182" s="64">
        <f>COUNT(AQ94:AQ142)</f>
        <v>9</v>
      </c>
      <c r="AR182" s="64">
        <f>COUNT(AR94:AR142)</f>
        <v>9</v>
      </c>
      <c r="AS182" s="64">
        <f>COUNT(AS94:AS142)</f>
        <v>10</v>
      </c>
      <c r="AT182" s="64">
        <f>COUNT(AT94:AT142)</f>
        <v>11</v>
      </c>
      <c r="AZ182" s="64">
        <f aca="true" t="shared" si="9" ref="AZ182:BI182">COUNT(AZ94:AZ142)</f>
        <v>10</v>
      </c>
      <c r="BA182" s="64">
        <f t="shared" si="9"/>
        <v>9</v>
      </c>
      <c r="BB182" s="64">
        <f t="shared" si="9"/>
        <v>5</v>
      </c>
      <c r="BC182" s="64">
        <f t="shared" si="9"/>
        <v>8</v>
      </c>
      <c r="BD182" s="64">
        <f t="shared" si="9"/>
        <v>6</v>
      </c>
      <c r="BE182" s="64">
        <f t="shared" si="9"/>
        <v>12</v>
      </c>
      <c r="BF182" s="64">
        <f t="shared" si="9"/>
        <v>12</v>
      </c>
      <c r="BG182" s="64">
        <f t="shared" si="9"/>
        <v>7</v>
      </c>
      <c r="BH182" s="64">
        <f t="shared" si="9"/>
        <v>10</v>
      </c>
      <c r="BI182" s="64">
        <f t="shared" si="9"/>
        <v>7</v>
      </c>
    </row>
    <row r="183" spans="2:5" ht="12.75">
      <c r="B183" s="54"/>
      <c r="D183" s="53" t="s">
        <v>272</v>
      </c>
      <c r="E183"/>
    </row>
    <row r="184" spans="2:5" ht="12.75">
      <c r="B184" s="54"/>
      <c r="D184" s="53" t="s">
        <v>273</v>
      </c>
      <c r="E184"/>
    </row>
    <row r="185" spans="2:61" ht="12.75">
      <c r="B185" s="54"/>
      <c r="D185" s="53" t="s">
        <v>271</v>
      </c>
      <c r="E185"/>
      <c r="H185" s="53">
        <v>3</v>
      </c>
      <c r="I185" s="53">
        <v>6</v>
      </c>
      <c r="J185" s="53">
        <v>5</v>
      </c>
      <c r="K185" s="53">
        <v>1</v>
      </c>
      <c r="L185" s="53">
        <v>0</v>
      </c>
      <c r="P185" s="53">
        <v>16</v>
      </c>
      <c r="Q185" s="53">
        <v>17</v>
      </c>
      <c r="R185" s="53">
        <v>1</v>
      </c>
      <c r="S185" s="53">
        <v>11</v>
      </c>
      <c r="T185" s="53">
        <v>6</v>
      </c>
      <c r="X185" s="53">
        <v>20</v>
      </c>
      <c r="Y185" s="53">
        <v>40</v>
      </c>
      <c r="Z185" s="53">
        <v>30</v>
      </c>
      <c r="AA185" s="53">
        <v>19</v>
      </c>
      <c r="AB185" s="53">
        <v>5</v>
      </c>
      <c r="AF185" s="53">
        <v>2</v>
      </c>
      <c r="AG185" s="53">
        <v>1</v>
      </c>
      <c r="AH185" s="53">
        <v>5</v>
      </c>
      <c r="AI185" s="53">
        <v>0</v>
      </c>
      <c r="AJ185" s="53">
        <v>2</v>
      </c>
      <c r="AP185" s="53">
        <v>4</v>
      </c>
      <c r="AQ185" s="53">
        <v>3</v>
      </c>
      <c r="AR185" s="53">
        <v>6</v>
      </c>
      <c r="AS185" s="53">
        <v>2</v>
      </c>
      <c r="AT185" s="53">
        <v>0</v>
      </c>
      <c r="AZ185" s="53">
        <v>10</v>
      </c>
      <c r="BA185" s="53">
        <v>5</v>
      </c>
      <c r="BB185" s="53">
        <v>2</v>
      </c>
      <c r="BC185" s="53">
        <v>6</v>
      </c>
      <c r="BD185" s="53">
        <v>9</v>
      </c>
      <c r="BE185" s="53">
        <v>12</v>
      </c>
      <c r="BF185" s="53">
        <v>5</v>
      </c>
      <c r="BG185" s="53">
        <v>5</v>
      </c>
      <c r="BH185" s="53">
        <v>3</v>
      </c>
      <c r="BI185" s="53">
        <v>23</v>
      </c>
    </row>
    <row r="186" spans="2:61" ht="14.25">
      <c r="B186" s="54"/>
      <c r="D186" s="67" t="s">
        <v>293</v>
      </c>
      <c r="E186"/>
      <c r="F186" s="68"/>
      <c r="G186" s="68"/>
      <c r="H186" s="68">
        <f>H185*H175/H172</f>
        <v>266.64</v>
      </c>
      <c r="I186" s="68">
        <f>I185*I175/I172</f>
        <v>711.04</v>
      </c>
      <c r="J186" s="68">
        <f>J185*J175/J172</f>
        <v>1185.0666666666664</v>
      </c>
      <c r="K186" s="68">
        <f>K185*K175/K172</f>
        <v>59.25333333333333</v>
      </c>
      <c r="L186" s="68">
        <f>L185*L175/L172</f>
        <v>0</v>
      </c>
      <c r="M186" s="68"/>
      <c r="N186" s="68"/>
      <c r="O186" s="68"/>
      <c r="P186" s="68">
        <f>P185*P175/P172</f>
        <v>711.0400000000001</v>
      </c>
      <c r="Q186" s="68">
        <f>Q185*Q175/Q172</f>
        <v>755.4799999999999</v>
      </c>
      <c r="R186" s="68">
        <f>R185*R175/R172</f>
        <v>88.88</v>
      </c>
      <c r="S186" s="68">
        <f>S185*S175/S172</f>
        <v>1955.3599999999997</v>
      </c>
      <c r="T186" s="68">
        <f>T185*T175/T172</f>
        <v>533.28</v>
      </c>
      <c r="U186" s="68"/>
      <c r="V186" s="68"/>
      <c r="W186" s="68"/>
      <c r="X186" s="68">
        <f>X185*X175/X172</f>
        <v>444.4</v>
      </c>
      <c r="Y186" s="68">
        <f>Y185*Y175/Y172</f>
        <v>444.4</v>
      </c>
      <c r="Z186" s="68">
        <f>Z185*Z175/Z172</f>
        <v>1333.1999999999998</v>
      </c>
      <c r="AA186" s="68">
        <f>AA185*AA175/AA172</f>
        <v>562.9066666666666</v>
      </c>
      <c r="AB186" s="68">
        <f>AB185*AB175/AB172</f>
        <v>888.7999999999998</v>
      </c>
      <c r="AF186" s="68">
        <f>AF185*AF175/AF172</f>
        <v>355.52</v>
      </c>
      <c r="AG186" s="68">
        <f>AG185*AG175/AG172</f>
        <v>88.88</v>
      </c>
      <c r="AH186" s="68">
        <f>AH185*AH175/AH172</f>
        <v>1777.5999999999997</v>
      </c>
      <c r="AI186" s="68">
        <f>AI185*AI175/AI172</f>
        <v>0</v>
      </c>
      <c r="AJ186" s="68">
        <f>AJ185*AJ175/AJ172</f>
        <v>474.02666666666664</v>
      </c>
      <c r="AP186" s="68">
        <f>AP185*AP175/AP172</f>
        <v>711.04</v>
      </c>
      <c r="AQ186" s="68">
        <f>AQ185*AQ175/AQ172</f>
        <v>355.52000000000004</v>
      </c>
      <c r="AR186" s="68">
        <f>AR185*AR175/AR172</f>
        <v>355.52</v>
      </c>
      <c r="AS186" s="68">
        <f>AS185*AS175/AS172</f>
        <v>88.88</v>
      </c>
      <c r="AT186" s="68">
        <f>AT185*AT175/AT172</f>
        <v>0</v>
      </c>
      <c r="AZ186" s="68">
        <f aca="true" t="shared" si="10" ref="AZ186:BI186">AZ185*AZ175/AZ172</f>
        <v>111.1</v>
      </c>
      <c r="BA186" s="68">
        <f t="shared" si="10"/>
        <v>222.2</v>
      </c>
      <c r="BB186" s="68">
        <f t="shared" si="10"/>
        <v>177.76</v>
      </c>
      <c r="BC186" s="68">
        <f t="shared" si="10"/>
        <v>266.64</v>
      </c>
      <c r="BD186" s="68">
        <f t="shared" si="10"/>
        <v>533.28</v>
      </c>
      <c r="BE186" s="68">
        <f t="shared" si="10"/>
        <v>170.6496</v>
      </c>
      <c r="BF186" s="68">
        <f t="shared" si="10"/>
        <v>222.19999999999996</v>
      </c>
      <c r="BG186" s="68">
        <f t="shared" si="10"/>
        <v>444.40000000000003</v>
      </c>
      <c r="BH186" s="68">
        <f t="shared" si="10"/>
        <v>133.32</v>
      </c>
      <c r="BI186" s="68">
        <f t="shared" si="10"/>
        <v>1022.12</v>
      </c>
    </row>
    <row r="187" spans="2:3" ht="12.75">
      <c r="B187" s="54"/>
      <c r="C187" s="67"/>
    </row>
    <row r="188" spans="2:4" ht="12.75">
      <c r="B188" s="54"/>
      <c r="C188" s="67"/>
      <c r="D188" s="59" t="s">
        <v>517</v>
      </c>
    </row>
    <row r="189" ht="12.75">
      <c r="B189" s="54"/>
    </row>
    <row r="190" ht="12.75">
      <c r="B190" s="5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8"/>
  <sheetViews>
    <sheetView zoomScale="75" zoomScaleNormal="75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13" sqref="U113"/>
    </sheetView>
  </sheetViews>
  <sheetFormatPr defaultColWidth="9.140625" defaultRowHeight="12.75"/>
  <cols>
    <col min="1" max="1" width="10.7109375" style="0" customWidth="1"/>
    <col min="2" max="2" width="8.8515625" style="4" bestFit="1" customWidth="1"/>
    <col min="3" max="7" width="5.7109375" style="4" customWidth="1"/>
    <col min="8" max="8" width="0.71875" style="4" customWidth="1"/>
    <col min="9" max="9" width="5.57421875" style="4" bestFit="1" customWidth="1"/>
    <col min="10" max="10" width="7.421875" style="0" bestFit="1" customWidth="1"/>
    <col min="12" max="12" width="4.57421875" style="0" customWidth="1"/>
    <col min="13" max="17" width="4.140625" style="0" customWidth="1"/>
    <col min="18" max="18" width="0.71875" style="0" customWidth="1"/>
    <col min="19" max="19" width="6.7109375" style="0" bestFit="1" customWidth="1"/>
    <col min="20" max="20" width="7.421875" style="8" bestFit="1" customWidth="1"/>
    <col min="22" max="22" width="11.421875" style="0" customWidth="1"/>
    <col min="23" max="28" width="5.00390625" style="0" customWidth="1"/>
    <col min="29" max="29" width="0.9921875" style="0" customWidth="1"/>
    <col min="30" max="30" width="5.57421875" style="0" bestFit="1" customWidth="1"/>
    <col min="31" max="31" width="7.421875" style="0" bestFit="1" customWidth="1"/>
    <col min="33" max="38" width="4.421875" style="0" customWidth="1"/>
    <col min="39" max="39" width="2.7109375" style="0" customWidth="1"/>
    <col min="40" max="40" width="6.7109375" style="0" bestFit="1" customWidth="1"/>
    <col min="41" max="41" width="7.421875" style="0" bestFit="1" customWidth="1"/>
  </cols>
  <sheetData>
    <row r="1" spans="1:41" ht="12.75">
      <c r="A1" s="9" t="s">
        <v>454</v>
      </c>
      <c r="V1" s="9" t="s">
        <v>485</v>
      </c>
      <c r="W1" s="4"/>
      <c r="X1" s="4"/>
      <c r="Y1" s="4"/>
      <c r="Z1" s="4"/>
      <c r="AA1" s="4"/>
      <c r="AB1" s="4"/>
      <c r="AC1" s="4"/>
      <c r="AD1" s="4"/>
      <c r="AE1" s="4"/>
      <c r="AO1" s="8"/>
    </row>
    <row r="2" spans="1:41" ht="12.75">
      <c r="A2" s="51" t="s">
        <v>455</v>
      </c>
      <c r="V2" s="51" t="s">
        <v>455</v>
      </c>
      <c r="W2" s="4"/>
      <c r="X2" s="4"/>
      <c r="Y2" s="4"/>
      <c r="Z2" s="4"/>
      <c r="AA2" s="4"/>
      <c r="AB2" s="4"/>
      <c r="AC2" s="4"/>
      <c r="AD2" s="4"/>
      <c r="AE2" s="4"/>
      <c r="AO2" s="8"/>
    </row>
    <row r="3" spans="2:41" ht="12.75">
      <c r="B3" s="106" t="s">
        <v>466</v>
      </c>
      <c r="C3" s="106"/>
      <c r="D3" s="106"/>
      <c r="E3" s="106"/>
      <c r="F3" s="106"/>
      <c r="G3" s="106"/>
      <c r="H3" s="49"/>
      <c r="I3" s="49"/>
      <c r="J3" s="3"/>
      <c r="K3" s="3"/>
      <c r="L3" s="106" t="s">
        <v>467</v>
      </c>
      <c r="M3" s="106"/>
      <c r="N3" s="106"/>
      <c r="O3" s="106"/>
      <c r="P3" s="106"/>
      <c r="Q3" s="106"/>
      <c r="W3" s="106" t="s">
        <v>466</v>
      </c>
      <c r="X3" s="106"/>
      <c r="Y3" s="106"/>
      <c r="Z3" s="106"/>
      <c r="AA3" s="106"/>
      <c r="AB3" s="106"/>
      <c r="AC3" s="49"/>
      <c r="AD3" s="49"/>
      <c r="AE3" s="49"/>
      <c r="AF3" s="3"/>
      <c r="AG3" s="106" t="s">
        <v>467</v>
      </c>
      <c r="AH3" s="106"/>
      <c r="AI3" s="106"/>
      <c r="AJ3" s="106"/>
      <c r="AK3" s="106"/>
      <c r="AL3" s="106"/>
      <c r="AO3" s="8"/>
    </row>
    <row r="4" spans="1:41" ht="12.75">
      <c r="A4" t="s">
        <v>465</v>
      </c>
      <c r="B4" s="11" t="s">
        <v>456</v>
      </c>
      <c r="C4" s="47" t="s">
        <v>457</v>
      </c>
      <c r="D4" s="47" t="s">
        <v>458</v>
      </c>
      <c r="E4" s="47" t="s">
        <v>459</v>
      </c>
      <c r="F4" s="47" t="s">
        <v>460</v>
      </c>
      <c r="G4" s="47" t="s">
        <v>461</v>
      </c>
      <c r="H4" s="49"/>
      <c r="I4"/>
      <c r="J4" s="8" t="s">
        <v>238</v>
      </c>
      <c r="K4" s="8"/>
      <c r="L4" s="3"/>
      <c r="M4" s="3">
        <v>1</v>
      </c>
      <c r="N4" s="3">
        <v>2</v>
      </c>
      <c r="O4" s="3">
        <v>3</v>
      </c>
      <c r="P4" s="3">
        <v>4</v>
      </c>
      <c r="Q4" s="3">
        <v>5</v>
      </c>
      <c r="T4" s="8" t="s">
        <v>238</v>
      </c>
      <c r="V4" t="s">
        <v>465</v>
      </c>
      <c r="W4" s="11" t="s">
        <v>456</v>
      </c>
      <c r="X4" s="47" t="s">
        <v>457</v>
      </c>
      <c r="Y4" s="47" t="s">
        <v>458</v>
      </c>
      <c r="Z4" s="47" t="s">
        <v>459</v>
      </c>
      <c r="AA4" s="47" t="s">
        <v>460</v>
      </c>
      <c r="AB4" s="47" t="s">
        <v>461</v>
      </c>
      <c r="AC4" s="49"/>
      <c r="AE4" s="8" t="s">
        <v>238</v>
      </c>
      <c r="AG4" s="3"/>
      <c r="AH4" s="3">
        <v>1</v>
      </c>
      <c r="AI4" s="3">
        <v>2</v>
      </c>
      <c r="AJ4" s="3">
        <v>3</v>
      </c>
      <c r="AK4" s="3">
        <v>4</v>
      </c>
      <c r="AL4" s="3">
        <v>5</v>
      </c>
      <c r="AO4" s="8" t="s">
        <v>238</v>
      </c>
    </row>
    <row r="5" spans="2:41" ht="12.75">
      <c r="B5" s="46">
        <v>-2</v>
      </c>
      <c r="C5" s="44">
        <v>25</v>
      </c>
      <c r="D5" s="44">
        <v>20</v>
      </c>
      <c r="E5" s="44">
        <v>26</v>
      </c>
      <c r="F5" s="44">
        <v>15</v>
      </c>
      <c r="G5" s="44" t="s">
        <v>463</v>
      </c>
      <c r="H5" s="50"/>
      <c r="I5" t="s">
        <v>480</v>
      </c>
      <c r="J5" s="8">
        <f>100*COUNTIF(C5:G9,"f")/25</f>
        <v>20</v>
      </c>
      <c r="K5" s="8"/>
      <c r="L5" s="48">
        <v>1</v>
      </c>
      <c r="M5" s="45" t="s">
        <v>463</v>
      </c>
      <c r="N5" s="45" t="s">
        <v>382</v>
      </c>
      <c r="O5" s="45" t="s">
        <v>464</v>
      </c>
      <c r="P5" s="45" t="s">
        <v>464</v>
      </c>
      <c r="Q5" s="45" t="s">
        <v>382</v>
      </c>
      <c r="S5" t="s">
        <v>480</v>
      </c>
      <c r="T5" s="8">
        <f>100*COUNTIF(M5:Q9,"f")/25</f>
        <v>0</v>
      </c>
      <c r="W5" s="46">
        <v>-2</v>
      </c>
      <c r="X5" s="44" t="s">
        <v>463</v>
      </c>
      <c r="Y5" s="44" t="s">
        <v>463</v>
      </c>
      <c r="Z5" s="44">
        <v>15</v>
      </c>
      <c r="AA5" s="44">
        <v>17</v>
      </c>
      <c r="AB5" s="44" t="s">
        <v>463</v>
      </c>
      <c r="AC5" s="50"/>
      <c r="AD5" t="s">
        <v>480</v>
      </c>
      <c r="AE5" s="8">
        <f>100*COUNTIF(X5:AB9,"f")/25</f>
        <v>16</v>
      </c>
      <c r="AG5" s="48">
        <v>1</v>
      </c>
      <c r="AH5" s="45" t="s">
        <v>382</v>
      </c>
      <c r="AI5" s="45" t="s">
        <v>464</v>
      </c>
      <c r="AJ5" s="45" t="s">
        <v>382</v>
      </c>
      <c r="AK5" s="45" t="s">
        <v>382</v>
      </c>
      <c r="AL5" s="45" t="s">
        <v>464</v>
      </c>
      <c r="AN5" t="s">
        <v>480</v>
      </c>
      <c r="AO5" s="8">
        <f>100*COUNTIF(AH5:AL9,"f")/25</f>
        <v>4</v>
      </c>
    </row>
    <row r="6" spans="2:41" ht="12.75">
      <c r="B6" s="46">
        <v>-1</v>
      </c>
      <c r="C6" s="44">
        <v>25</v>
      </c>
      <c r="D6" s="44">
        <v>18</v>
      </c>
      <c r="E6" s="44">
        <v>28</v>
      </c>
      <c r="F6" s="44">
        <v>30</v>
      </c>
      <c r="G6" s="44">
        <v>5</v>
      </c>
      <c r="H6" s="50"/>
      <c r="I6" t="s">
        <v>481</v>
      </c>
      <c r="J6" s="8">
        <f>100*(COUNTIF(C5:G9,"s"))/25</f>
        <v>4</v>
      </c>
      <c r="K6" s="8"/>
      <c r="L6" s="48">
        <v>2</v>
      </c>
      <c r="M6" s="45" t="s">
        <v>464</v>
      </c>
      <c r="N6" s="45" t="s">
        <v>382</v>
      </c>
      <c r="O6" s="45" t="s">
        <v>464</v>
      </c>
      <c r="P6" s="45" t="s">
        <v>382</v>
      </c>
      <c r="Q6" s="45" t="s">
        <v>382</v>
      </c>
      <c r="S6" t="s">
        <v>481</v>
      </c>
      <c r="T6" s="8">
        <f>100*(COUNTIF(M5:Q9,"s"))/25</f>
        <v>8</v>
      </c>
      <c r="W6" s="46">
        <v>-1</v>
      </c>
      <c r="X6" s="44" t="s">
        <v>463</v>
      </c>
      <c r="Y6" s="44" t="s">
        <v>463</v>
      </c>
      <c r="Z6" s="44">
        <v>13</v>
      </c>
      <c r="AA6" s="44">
        <v>25</v>
      </c>
      <c r="AB6" s="44">
        <v>21</v>
      </c>
      <c r="AC6" s="50"/>
      <c r="AD6" t="s">
        <v>481</v>
      </c>
      <c r="AE6" s="8">
        <f>100*(COUNTIF(X5:AB9,"s"))/25</f>
        <v>32</v>
      </c>
      <c r="AG6" s="48">
        <v>2</v>
      </c>
      <c r="AH6" s="45" t="s">
        <v>464</v>
      </c>
      <c r="AI6" s="45" t="s">
        <v>382</v>
      </c>
      <c r="AJ6" s="45" t="s">
        <v>382</v>
      </c>
      <c r="AK6" s="45" t="s">
        <v>382</v>
      </c>
      <c r="AL6" s="45" t="s">
        <v>464</v>
      </c>
      <c r="AN6" t="s">
        <v>481</v>
      </c>
      <c r="AO6" s="8">
        <f>100*(COUNTIF(AH5:AL9,"s"))/25</f>
        <v>8</v>
      </c>
    </row>
    <row r="7" spans="2:41" ht="12.75">
      <c r="B7" s="46">
        <v>0</v>
      </c>
      <c r="C7" s="44">
        <v>2</v>
      </c>
      <c r="D7" s="44">
        <v>28</v>
      </c>
      <c r="E7" s="44">
        <v>23</v>
      </c>
      <c r="F7" s="44">
        <v>28</v>
      </c>
      <c r="G7" s="44" t="s">
        <v>462</v>
      </c>
      <c r="H7" s="50"/>
      <c r="I7" s="50"/>
      <c r="L7" s="48">
        <v>3</v>
      </c>
      <c r="M7" s="45" t="s">
        <v>382</v>
      </c>
      <c r="N7" s="45" t="s">
        <v>464</v>
      </c>
      <c r="O7" s="45" t="s">
        <v>464</v>
      </c>
      <c r="P7" s="45" t="s">
        <v>464</v>
      </c>
      <c r="Q7" s="45" t="s">
        <v>382</v>
      </c>
      <c r="S7" t="s">
        <v>482</v>
      </c>
      <c r="T7" s="8">
        <f>100*(COUNTIF(M5:Q9,"g"))/25</f>
        <v>56</v>
      </c>
      <c r="W7" s="46">
        <v>0</v>
      </c>
      <c r="X7" s="44">
        <v>17</v>
      </c>
      <c r="Y7" s="44">
        <v>5</v>
      </c>
      <c r="Z7" s="44">
        <v>6</v>
      </c>
      <c r="AA7" s="44">
        <v>25</v>
      </c>
      <c r="AB7" s="44">
        <v>25</v>
      </c>
      <c r="AC7" s="50"/>
      <c r="AD7" s="50"/>
      <c r="AG7" s="48">
        <v>3</v>
      </c>
      <c r="AH7" s="45" t="s">
        <v>464</v>
      </c>
      <c r="AI7" s="45" t="s">
        <v>382</v>
      </c>
      <c r="AJ7" s="45" t="s">
        <v>464</v>
      </c>
      <c r="AK7" s="45" t="s">
        <v>382</v>
      </c>
      <c r="AL7" s="45" t="s">
        <v>382</v>
      </c>
      <c r="AN7" t="s">
        <v>482</v>
      </c>
      <c r="AO7" s="8">
        <f>100*(COUNTIF(AH5:AL9,"g"))/25</f>
        <v>40</v>
      </c>
    </row>
    <row r="8" spans="2:41" ht="12.75">
      <c r="B8" s="46">
        <v>1</v>
      </c>
      <c r="C8" s="44" t="s">
        <v>462</v>
      </c>
      <c r="D8" s="44">
        <v>24</v>
      </c>
      <c r="E8" s="44">
        <v>10</v>
      </c>
      <c r="F8" s="44">
        <v>16</v>
      </c>
      <c r="G8" s="44" t="s">
        <v>462</v>
      </c>
      <c r="H8" s="50"/>
      <c r="I8" s="50"/>
      <c r="L8" s="48">
        <v>4</v>
      </c>
      <c r="M8" s="45" t="s">
        <v>382</v>
      </c>
      <c r="N8" s="45" t="s">
        <v>382</v>
      </c>
      <c r="O8" s="45" t="s">
        <v>382</v>
      </c>
      <c r="P8" s="45" t="s">
        <v>464</v>
      </c>
      <c r="Q8" s="45" t="s">
        <v>382</v>
      </c>
      <c r="S8" t="s">
        <v>483</v>
      </c>
      <c r="T8" s="8">
        <f>100*(COUNTIF(M5:Q9,"p"))/25</f>
        <v>36</v>
      </c>
      <c r="W8" s="46">
        <v>1</v>
      </c>
      <c r="X8" s="44">
        <v>28</v>
      </c>
      <c r="Y8" s="44">
        <v>3</v>
      </c>
      <c r="Z8" s="44" t="s">
        <v>463</v>
      </c>
      <c r="AA8" s="44" t="s">
        <v>462</v>
      </c>
      <c r="AB8" s="44" t="s">
        <v>462</v>
      </c>
      <c r="AC8" s="50"/>
      <c r="AD8" s="50"/>
      <c r="AG8" s="48">
        <v>4</v>
      </c>
      <c r="AH8" s="45" t="s">
        <v>464</v>
      </c>
      <c r="AI8" s="45" t="s">
        <v>464</v>
      </c>
      <c r="AJ8" s="45" t="s">
        <v>462</v>
      </c>
      <c r="AK8" s="45" t="s">
        <v>382</v>
      </c>
      <c r="AL8" s="45" t="s">
        <v>464</v>
      </c>
      <c r="AN8" t="s">
        <v>483</v>
      </c>
      <c r="AO8" s="8">
        <f>100*(COUNTIF(AH5:AL9,"p"))/25</f>
        <v>48</v>
      </c>
    </row>
    <row r="9" spans="2:41" ht="12.75">
      <c r="B9" s="46">
        <v>2</v>
      </c>
      <c r="C9" s="44" t="s">
        <v>462</v>
      </c>
      <c r="D9" s="44">
        <v>22</v>
      </c>
      <c r="E9" s="44">
        <v>26</v>
      </c>
      <c r="F9" s="44">
        <v>27</v>
      </c>
      <c r="G9" s="44" t="s">
        <v>462</v>
      </c>
      <c r="H9" s="50"/>
      <c r="I9" s="50"/>
      <c r="L9" s="48">
        <v>5</v>
      </c>
      <c r="M9" s="45" t="s">
        <v>382</v>
      </c>
      <c r="N9" s="45" t="s">
        <v>464</v>
      </c>
      <c r="O9" s="45" t="s">
        <v>382</v>
      </c>
      <c r="P9" s="45" t="s">
        <v>382</v>
      </c>
      <c r="Q9" s="45" t="s">
        <v>463</v>
      </c>
      <c r="S9" t="s">
        <v>484</v>
      </c>
      <c r="T9" s="8">
        <f>100*(COUNTIF(M5:Q9,"c"))/25</f>
        <v>0</v>
      </c>
      <c r="W9" s="46">
        <v>2</v>
      </c>
      <c r="X9" s="44">
        <v>24</v>
      </c>
      <c r="Y9" s="44" t="s">
        <v>463</v>
      </c>
      <c r="Z9" s="44" t="s">
        <v>463</v>
      </c>
      <c r="AA9" s="44" t="s">
        <v>462</v>
      </c>
      <c r="AB9" s="44" t="s">
        <v>462</v>
      </c>
      <c r="AC9" s="50"/>
      <c r="AD9" s="50"/>
      <c r="AG9" s="48">
        <v>5</v>
      </c>
      <c r="AH9" s="45" t="s">
        <v>463</v>
      </c>
      <c r="AI9" s="45" t="s">
        <v>464</v>
      </c>
      <c r="AJ9" s="45" t="s">
        <v>464</v>
      </c>
      <c r="AK9" s="45" t="s">
        <v>464</v>
      </c>
      <c r="AL9" s="45" t="s">
        <v>463</v>
      </c>
      <c r="AN9" t="s">
        <v>484</v>
      </c>
      <c r="AO9" s="8">
        <f>100*(COUNTIF(AH5:AL9,"c"))/25</f>
        <v>0</v>
      </c>
    </row>
    <row r="10" spans="23:41" ht="12.75">
      <c r="W10" s="4"/>
      <c r="X10" s="4"/>
      <c r="Y10" s="4"/>
      <c r="Z10" s="4"/>
      <c r="AA10" s="4"/>
      <c r="AB10" s="4"/>
      <c r="AC10" s="4"/>
      <c r="AD10" s="4"/>
      <c r="AO10" s="8"/>
    </row>
    <row r="11" spans="1:41" ht="12.75">
      <c r="A11" t="s">
        <v>468</v>
      </c>
      <c r="B11" s="11" t="s">
        <v>456</v>
      </c>
      <c r="C11" s="47" t="s">
        <v>457</v>
      </c>
      <c r="D11" s="47" t="s">
        <v>458</v>
      </c>
      <c r="E11" s="47" t="s">
        <v>459</v>
      </c>
      <c r="F11" s="47" t="s">
        <v>460</v>
      </c>
      <c r="G11" s="47" t="s">
        <v>461</v>
      </c>
      <c r="H11" s="49"/>
      <c r="I11"/>
      <c r="J11" s="8"/>
      <c r="L11" s="3"/>
      <c r="M11" s="3">
        <v>1</v>
      </c>
      <c r="N11" s="3">
        <v>2</v>
      </c>
      <c r="O11" s="3">
        <v>3</v>
      </c>
      <c r="P11" s="3">
        <v>4</v>
      </c>
      <c r="Q11" s="3">
        <v>5</v>
      </c>
      <c r="V11" t="s">
        <v>468</v>
      </c>
      <c r="W11" s="11" t="s">
        <v>456</v>
      </c>
      <c r="X11" s="47" t="s">
        <v>457</v>
      </c>
      <c r="Y11" s="47" t="s">
        <v>458</v>
      </c>
      <c r="Z11" s="47" t="s">
        <v>459</v>
      </c>
      <c r="AA11" s="47" t="s">
        <v>460</v>
      </c>
      <c r="AB11" s="47" t="s">
        <v>461</v>
      </c>
      <c r="AC11" s="49"/>
      <c r="AE11" s="8"/>
      <c r="AG11" s="3"/>
      <c r="AH11" s="3">
        <v>1</v>
      </c>
      <c r="AI11" s="3">
        <v>2</v>
      </c>
      <c r="AJ11" s="3">
        <v>3</v>
      </c>
      <c r="AK11" s="3">
        <v>4</v>
      </c>
      <c r="AL11" s="3">
        <v>5</v>
      </c>
      <c r="AO11" s="8"/>
    </row>
    <row r="12" spans="2:41" ht="12.75">
      <c r="B12" s="46">
        <v>-2</v>
      </c>
      <c r="C12" s="44">
        <v>25</v>
      </c>
      <c r="D12" s="44">
        <v>19</v>
      </c>
      <c r="E12" s="44">
        <v>18</v>
      </c>
      <c r="F12" s="44">
        <v>5</v>
      </c>
      <c r="G12" s="44">
        <v>17</v>
      </c>
      <c r="H12" s="50"/>
      <c r="I12" t="s">
        <v>480</v>
      </c>
      <c r="J12" s="8">
        <f>100*COUNTIF(C12:G16,"f")/25</f>
        <v>4</v>
      </c>
      <c r="L12" s="48">
        <v>1</v>
      </c>
      <c r="M12" s="45" t="s">
        <v>382</v>
      </c>
      <c r="N12" s="45" t="s">
        <v>382</v>
      </c>
      <c r="O12" s="45" t="s">
        <v>382</v>
      </c>
      <c r="P12" s="45" t="s">
        <v>463</v>
      </c>
      <c r="Q12" s="45" t="s">
        <v>382</v>
      </c>
      <c r="S12" t="s">
        <v>480</v>
      </c>
      <c r="T12" s="8">
        <f>100*COUNTIF(M12:Q16,"f")/25</f>
        <v>0</v>
      </c>
      <c r="W12" s="46">
        <v>-2</v>
      </c>
      <c r="X12" s="44">
        <v>25</v>
      </c>
      <c r="Y12" s="44">
        <v>9</v>
      </c>
      <c r="Z12" s="44">
        <v>17</v>
      </c>
      <c r="AA12" s="44">
        <v>21</v>
      </c>
      <c r="AB12" s="44">
        <v>16</v>
      </c>
      <c r="AC12" s="50"/>
      <c r="AD12" t="s">
        <v>480</v>
      </c>
      <c r="AE12" s="8">
        <f>100*COUNTIF(X12:AB16,"f")/25</f>
        <v>0</v>
      </c>
      <c r="AG12" s="48">
        <v>1</v>
      </c>
      <c r="AH12" s="45" t="s">
        <v>382</v>
      </c>
      <c r="AI12" s="45" t="s">
        <v>382</v>
      </c>
      <c r="AJ12" s="45" t="s">
        <v>382</v>
      </c>
      <c r="AK12" s="45" t="s">
        <v>464</v>
      </c>
      <c r="AL12" s="45" t="s">
        <v>382</v>
      </c>
      <c r="AN12" t="s">
        <v>480</v>
      </c>
      <c r="AO12" s="8">
        <f>100*COUNTIF(AH12:AL16,"f")/25</f>
        <v>0</v>
      </c>
    </row>
    <row r="13" spans="2:41" ht="12.75">
      <c r="B13" s="46">
        <v>-1</v>
      </c>
      <c r="C13" s="44">
        <v>6</v>
      </c>
      <c r="D13" s="44">
        <v>26</v>
      </c>
      <c r="E13" s="44">
        <v>16</v>
      </c>
      <c r="F13" s="44">
        <v>21</v>
      </c>
      <c r="G13" s="44">
        <v>9</v>
      </c>
      <c r="H13" s="50"/>
      <c r="I13" t="s">
        <v>481</v>
      </c>
      <c r="J13" s="8">
        <f>100*(COUNTIF(C12:G16,"s"))/25</f>
        <v>8</v>
      </c>
      <c r="L13" s="48">
        <v>2</v>
      </c>
      <c r="M13" s="45" t="s">
        <v>382</v>
      </c>
      <c r="N13" s="45" t="s">
        <v>464</v>
      </c>
      <c r="O13" s="45" t="s">
        <v>382</v>
      </c>
      <c r="P13" s="45" t="s">
        <v>382</v>
      </c>
      <c r="Q13" s="45" t="s">
        <v>382</v>
      </c>
      <c r="S13" t="s">
        <v>481</v>
      </c>
      <c r="T13" s="8">
        <f>100*(COUNTIF(M12:Q16,"s"))/25</f>
        <v>8</v>
      </c>
      <c r="W13" s="46">
        <v>-1</v>
      </c>
      <c r="X13" s="44">
        <v>19</v>
      </c>
      <c r="Y13" s="44">
        <v>13</v>
      </c>
      <c r="Z13" s="44">
        <v>12</v>
      </c>
      <c r="AA13" s="44">
        <v>27</v>
      </c>
      <c r="AB13" s="44">
        <v>17</v>
      </c>
      <c r="AC13" s="50"/>
      <c r="AD13" t="s">
        <v>481</v>
      </c>
      <c r="AE13" s="8">
        <f>100*(COUNTIF(X12:AB16,"s"))/25</f>
        <v>8</v>
      </c>
      <c r="AG13" s="48">
        <v>2</v>
      </c>
      <c r="AH13" s="45" t="s">
        <v>464</v>
      </c>
      <c r="AI13" s="45" t="s">
        <v>382</v>
      </c>
      <c r="AJ13" s="45" t="s">
        <v>464</v>
      </c>
      <c r="AK13" s="45" t="s">
        <v>382</v>
      </c>
      <c r="AL13" s="45" t="s">
        <v>382</v>
      </c>
      <c r="AN13" t="s">
        <v>481</v>
      </c>
      <c r="AO13" s="8">
        <f>100*(COUNTIF(AH12:AL16,"s"))/25</f>
        <v>4</v>
      </c>
    </row>
    <row r="14" spans="2:41" ht="12.75">
      <c r="B14" s="46">
        <v>0</v>
      </c>
      <c r="C14" s="44">
        <v>19</v>
      </c>
      <c r="D14" s="44">
        <v>26</v>
      </c>
      <c r="E14" s="44" t="s">
        <v>463</v>
      </c>
      <c r="F14" s="44">
        <v>3</v>
      </c>
      <c r="G14" s="44">
        <v>25</v>
      </c>
      <c r="H14" s="50"/>
      <c r="I14" s="50"/>
      <c r="L14" s="48">
        <v>3</v>
      </c>
      <c r="M14" s="45" t="s">
        <v>382</v>
      </c>
      <c r="N14" s="45" t="s">
        <v>382</v>
      </c>
      <c r="O14" s="45" t="s">
        <v>382</v>
      </c>
      <c r="P14" s="45" t="s">
        <v>382</v>
      </c>
      <c r="Q14" s="45" t="s">
        <v>473</v>
      </c>
      <c r="S14" t="s">
        <v>482</v>
      </c>
      <c r="T14" s="8">
        <f>100*(COUNTIF(M12:Q16,"g"))/25</f>
        <v>72</v>
      </c>
      <c r="W14" s="46">
        <v>0</v>
      </c>
      <c r="X14" s="44">
        <v>22</v>
      </c>
      <c r="Y14" s="44">
        <v>15</v>
      </c>
      <c r="Z14" s="44">
        <v>25</v>
      </c>
      <c r="AA14" s="44">
        <v>21</v>
      </c>
      <c r="AB14" s="44">
        <v>16</v>
      </c>
      <c r="AC14" s="50"/>
      <c r="AD14" s="50"/>
      <c r="AG14" s="48">
        <v>3</v>
      </c>
      <c r="AH14" s="45" t="s">
        <v>382</v>
      </c>
      <c r="AI14" s="45" t="s">
        <v>382</v>
      </c>
      <c r="AJ14" s="45" t="s">
        <v>463</v>
      </c>
      <c r="AK14" s="45" t="s">
        <v>382</v>
      </c>
      <c r="AL14" s="45" t="s">
        <v>382</v>
      </c>
      <c r="AN14" t="s">
        <v>482</v>
      </c>
      <c r="AO14" s="8">
        <f>100*(COUNTIF(AH12:AL16,"g"))/25</f>
        <v>76</v>
      </c>
    </row>
    <row r="15" spans="2:41" ht="12.75">
      <c r="B15" s="46">
        <v>1</v>
      </c>
      <c r="C15" s="44">
        <v>21</v>
      </c>
      <c r="D15" s="44">
        <v>10</v>
      </c>
      <c r="E15" s="44">
        <v>7</v>
      </c>
      <c r="F15" s="44">
        <v>6</v>
      </c>
      <c r="G15" s="44" t="s">
        <v>463</v>
      </c>
      <c r="H15" s="50"/>
      <c r="I15" s="50"/>
      <c r="L15" s="48">
        <v>4</v>
      </c>
      <c r="M15" s="45" t="s">
        <v>382</v>
      </c>
      <c r="N15" s="45" t="s">
        <v>382</v>
      </c>
      <c r="O15" s="45" t="s">
        <v>464</v>
      </c>
      <c r="P15" s="45" t="s">
        <v>464</v>
      </c>
      <c r="Q15" s="45" t="s">
        <v>464</v>
      </c>
      <c r="S15" t="s">
        <v>483</v>
      </c>
      <c r="T15" s="8">
        <f>100*(COUNTIF(M12:Q16,"p"))/25</f>
        <v>16</v>
      </c>
      <c r="W15" s="46">
        <v>1</v>
      </c>
      <c r="X15" s="44">
        <v>17</v>
      </c>
      <c r="Y15" s="44">
        <v>10</v>
      </c>
      <c r="Z15" s="44">
        <v>13</v>
      </c>
      <c r="AA15" s="44">
        <v>12</v>
      </c>
      <c r="AB15" s="44">
        <v>18</v>
      </c>
      <c r="AC15" s="50"/>
      <c r="AD15" s="50"/>
      <c r="AG15" s="48">
        <v>4</v>
      </c>
      <c r="AH15" s="45" t="s">
        <v>382</v>
      </c>
      <c r="AI15" s="45" t="s">
        <v>382</v>
      </c>
      <c r="AJ15" s="45" t="s">
        <v>382</v>
      </c>
      <c r="AK15" s="45" t="s">
        <v>464</v>
      </c>
      <c r="AL15" s="45" t="s">
        <v>382</v>
      </c>
      <c r="AN15" t="s">
        <v>483</v>
      </c>
      <c r="AO15" s="8">
        <f>100*(COUNTIF(AH12:AL16,"p"))/25</f>
        <v>20</v>
      </c>
    </row>
    <row r="16" spans="2:41" ht="12.75">
      <c r="B16" s="46">
        <v>2</v>
      </c>
      <c r="C16" s="44">
        <v>16</v>
      </c>
      <c r="D16" s="44">
        <v>16</v>
      </c>
      <c r="E16" s="44">
        <v>3</v>
      </c>
      <c r="F16" s="44">
        <v>5</v>
      </c>
      <c r="G16" s="44" t="s">
        <v>462</v>
      </c>
      <c r="H16" s="50"/>
      <c r="I16" s="50"/>
      <c r="L16" s="48">
        <v>5</v>
      </c>
      <c r="M16" s="45" t="s">
        <v>463</v>
      </c>
      <c r="N16" s="45" t="s">
        <v>382</v>
      </c>
      <c r="O16" s="45" t="s">
        <v>382</v>
      </c>
      <c r="P16" s="45" t="s">
        <v>382</v>
      </c>
      <c r="Q16" s="45" t="s">
        <v>382</v>
      </c>
      <c r="S16" t="s">
        <v>484</v>
      </c>
      <c r="T16" s="8">
        <f>100*(COUNTIF(M12:Q16,"c"))/25</f>
        <v>0</v>
      </c>
      <c r="W16" s="46">
        <v>2</v>
      </c>
      <c r="X16" s="44" t="s">
        <v>463</v>
      </c>
      <c r="Y16" s="44">
        <v>13</v>
      </c>
      <c r="Z16" s="44" t="s">
        <v>463</v>
      </c>
      <c r="AA16" s="44">
        <v>17</v>
      </c>
      <c r="AB16" s="44">
        <v>5</v>
      </c>
      <c r="AC16" s="50"/>
      <c r="AD16" s="50"/>
      <c r="AG16" s="48">
        <v>5</v>
      </c>
      <c r="AH16" s="45" t="s">
        <v>382</v>
      </c>
      <c r="AI16" s="45" t="s">
        <v>382</v>
      </c>
      <c r="AJ16" s="45" t="s">
        <v>382</v>
      </c>
      <c r="AK16" s="45" t="s">
        <v>464</v>
      </c>
      <c r="AL16" s="45" t="s">
        <v>382</v>
      </c>
      <c r="AN16" t="s">
        <v>484</v>
      </c>
      <c r="AO16" s="8">
        <f>100*(COUNTIF(AH12:AL16,"c"))/25</f>
        <v>0</v>
      </c>
    </row>
    <row r="17" spans="23:41" ht="12.75">
      <c r="W17" s="4"/>
      <c r="X17" s="4"/>
      <c r="Y17" s="4"/>
      <c r="Z17" s="4"/>
      <c r="AA17" s="4"/>
      <c r="AB17" s="4"/>
      <c r="AC17" s="4"/>
      <c r="AD17" s="4"/>
      <c r="AO17" s="8"/>
    </row>
    <row r="18" spans="1:41" ht="12.75">
      <c r="A18" t="s">
        <v>469</v>
      </c>
      <c r="B18" s="11" t="s">
        <v>456</v>
      </c>
      <c r="C18" s="47" t="s">
        <v>457</v>
      </c>
      <c r="D18" s="47" t="s">
        <v>458</v>
      </c>
      <c r="E18" s="47" t="s">
        <v>459</v>
      </c>
      <c r="F18" s="47" t="s">
        <v>460</v>
      </c>
      <c r="G18" s="47" t="s">
        <v>461</v>
      </c>
      <c r="H18" s="49"/>
      <c r="I18"/>
      <c r="J18" s="8"/>
      <c r="L18" s="3"/>
      <c r="M18" s="3">
        <v>1</v>
      </c>
      <c r="N18" s="3">
        <v>2</v>
      </c>
      <c r="O18" s="3">
        <v>3</v>
      </c>
      <c r="P18" s="3">
        <v>4</v>
      </c>
      <c r="Q18" s="3">
        <v>5</v>
      </c>
      <c r="V18" t="s">
        <v>469</v>
      </c>
      <c r="W18" s="11" t="s">
        <v>456</v>
      </c>
      <c r="X18" s="47" t="s">
        <v>457</v>
      </c>
      <c r="Y18" s="47" t="s">
        <v>458</v>
      </c>
      <c r="Z18" s="47" t="s">
        <v>459</v>
      </c>
      <c r="AA18" s="47" t="s">
        <v>460</v>
      </c>
      <c r="AB18" s="47" t="s">
        <v>461</v>
      </c>
      <c r="AC18" s="49"/>
      <c r="AE18" s="8"/>
      <c r="AG18" s="3"/>
      <c r="AH18" s="3">
        <v>1</v>
      </c>
      <c r="AI18" s="3">
        <v>2</v>
      </c>
      <c r="AJ18" s="3">
        <v>3</v>
      </c>
      <c r="AK18" s="3">
        <v>4</v>
      </c>
      <c r="AL18" s="3">
        <v>5</v>
      </c>
      <c r="AO18" s="8"/>
    </row>
    <row r="19" spans="2:41" ht="12.75">
      <c r="B19" s="46">
        <v>-2</v>
      </c>
      <c r="C19" s="44">
        <v>26</v>
      </c>
      <c r="D19" s="44">
        <v>26</v>
      </c>
      <c r="E19" s="44">
        <v>15</v>
      </c>
      <c r="F19" s="44">
        <v>20</v>
      </c>
      <c r="G19" s="44" t="s">
        <v>463</v>
      </c>
      <c r="H19" s="50"/>
      <c r="I19" t="s">
        <v>480</v>
      </c>
      <c r="J19" s="8">
        <f>100*COUNTIF(C19:G23,"f")/25</f>
        <v>0</v>
      </c>
      <c r="L19" s="48">
        <v>1</v>
      </c>
      <c r="M19" s="45" t="s">
        <v>464</v>
      </c>
      <c r="N19" s="45" t="s">
        <v>464</v>
      </c>
      <c r="O19" s="45" t="s">
        <v>463</v>
      </c>
      <c r="P19" s="45" t="s">
        <v>463</v>
      </c>
      <c r="Q19" s="45" t="s">
        <v>463</v>
      </c>
      <c r="S19" t="s">
        <v>480</v>
      </c>
      <c r="T19" s="8">
        <f>100*COUNTIF(M19:Q23,"f")/25</f>
        <v>0</v>
      </c>
      <c r="W19" s="46">
        <v>-2</v>
      </c>
      <c r="X19" s="44" t="s">
        <v>462</v>
      </c>
      <c r="Y19" s="44" t="s">
        <v>462</v>
      </c>
      <c r="Z19" s="44">
        <v>12</v>
      </c>
      <c r="AA19" s="44">
        <v>6</v>
      </c>
      <c r="AB19" s="44">
        <v>5</v>
      </c>
      <c r="AC19" s="50"/>
      <c r="AD19" t="s">
        <v>480</v>
      </c>
      <c r="AE19" s="8">
        <f>100*COUNTIF(X19:AB23,"f")/25</f>
        <v>20</v>
      </c>
      <c r="AG19" s="48">
        <v>1</v>
      </c>
      <c r="AH19" s="45" t="s">
        <v>462</v>
      </c>
      <c r="AI19" s="45" t="s">
        <v>462</v>
      </c>
      <c r="AJ19" s="45" t="s">
        <v>462</v>
      </c>
      <c r="AK19" s="45" t="s">
        <v>463</v>
      </c>
      <c r="AL19" s="45" t="s">
        <v>463</v>
      </c>
      <c r="AN19" t="s">
        <v>480</v>
      </c>
      <c r="AO19" s="8">
        <f>100*COUNTIF(AH19:AL23,"f")/25</f>
        <v>68</v>
      </c>
    </row>
    <row r="20" spans="2:41" ht="12.75">
      <c r="B20" s="46">
        <v>-1</v>
      </c>
      <c r="C20" s="44">
        <v>14</v>
      </c>
      <c r="D20" s="44">
        <v>12</v>
      </c>
      <c r="E20" s="44">
        <v>23</v>
      </c>
      <c r="F20" s="44">
        <v>4</v>
      </c>
      <c r="G20" s="44">
        <v>16</v>
      </c>
      <c r="H20" s="50"/>
      <c r="I20" t="s">
        <v>481</v>
      </c>
      <c r="J20" s="8">
        <f>100*(COUNTIF(C19:G23,"s"))/25</f>
        <v>4</v>
      </c>
      <c r="L20" s="48">
        <v>2</v>
      </c>
      <c r="M20" s="45" t="s">
        <v>464</v>
      </c>
      <c r="N20" s="45" t="s">
        <v>463</v>
      </c>
      <c r="O20" s="45" t="s">
        <v>463</v>
      </c>
      <c r="P20" s="45" t="s">
        <v>464</v>
      </c>
      <c r="Q20" s="45" t="s">
        <v>463</v>
      </c>
      <c r="S20" t="s">
        <v>481</v>
      </c>
      <c r="T20" s="8">
        <f>100*(COUNTIF(M19:Q23,"s"))/25</f>
        <v>56</v>
      </c>
      <c r="W20" s="46">
        <v>-1</v>
      </c>
      <c r="X20" s="44" t="s">
        <v>462</v>
      </c>
      <c r="Y20" s="44" t="s">
        <v>463</v>
      </c>
      <c r="Z20" s="44">
        <v>7</v>
      </c>
      <c r="AA20" s="44">
        <v>8</v>
      </c>
      <c r="AB20" s="44">
        <v>4</v>
      </c>
      <c r="AC20" s="50"/>
      <c r="AD20" t="s">
        <v>481</v>
      </c>
      <c r="AE20" s="8">
        <f>100*(COUNTIF(X19:AB23,"s"))/25</f>
        <v>12</v>
      </c>
      <c r="AG20" s="48">
        <v>2</v>
      </c>
      <c r="AH20" s="45" t="s">
        <v>462</v>
      </c>
      <c r="AI20" s="45" t="s">
        <v>462</v>
      </c>
      <c r="AJ20" s="45" t="s">
        <v>462</v>
      </c>
      <c r="AK20" s="45" t="s">
        <v>463</v>
      </c>
      <c r="AL20" s="45" t="s">
        <v>382</v>
      </c>
      <c r="AN20" t="s">
        <v>481</v>
      </c>
      <c r="AO20" s="8">
        <f>100*(COUNTIF(AH19:AL23,"s"))/25</f>
        <v>24</v>
      </c>
    </row>
    <row r="21" spans="2:41" ht="12.75">
      <c r="B21" s="46">
        <v>0</v>
      </c>
      <c r="C21" s="44">
        <v>10</v>
      </c>
      <c r="D21" s="44">
        <v>24</v>
      </c>
      <c r="E21" s="44">
        <v>12</v>
      </c>
      <c r="F21" s="44">
        <v>9</v>
      </c>
      <c r="G21" s="44">
        <v>5</v>
      </c>
      <c r="H21" s="50"/>
      <c r="I21" s="50"/>
      <c r="L21" s="48">
        <v>3</v>
      </c>
      <c r="M21" s="45" t="s">
        <v>463</v>
      </c>
      <c r="N21" s="45" t="s">
        <v>463</v>
      </c>
      <c r="O21" s="45" t="s">
        <v>464</v>
      </c>
      <c r="P21" s="45" t="s">
        <v>463</v>
      </c>
      <c r="Q21" s="45" t="s">
        <v>463</v>
      </c>
      <c r="S21" t="s">
        <v>482</v>
      </c>
      <c r="T21" s="8">
        <f>100*(COUNTIF(M19:Q23,"g"))/25</f>
        <v>0</v>
      </c>
      <c r="W21" s="46">
        <v>0</v>
      </c>
      <c r="X21" s="44" t="s">
        <v>463</v>
      </c>
      <c r="Y21" s="44" t="s">
        <v>462</v>
      </c>
      <c r="Z21" s="44">
        <v>11</v>
      </c>
      <c r="AA21" s="44">
        <v>13</v>
      </c>
      <c r="AB21" s="44">
        <v>4</v>
      </c>
      <c r="AC21" s="50"/>
      <c r="AD21" s="50"/>
      <c r="AG21" s="48">
        <v>3</v>
      </c>
      <c r="AH21" s="45" t="s">
        <v>462</v>
      </c>
      <c r="AI21" s="45" t="s">
        <v>462</v>
      </c>
      <c r="AJ21" s="45" t="s">
        <v>462</v>
      </c>
      <c r="AK21" s="45" t="s">
        <v>462</v>
      </c>
      <c r="AL21" s="45" t="s">
        <v>462</v>
      </c>
      <c r="AN21" t="s">
        <v>482</v>
      </c>
      <c r="AO21" s="8">
        <f>100*(COUNTIF(AH19:AL23,"g"))/25</f>
        <v>8</v>
      </c>
    </row>
    <row r="22" spans="2:41" ht="12.75">
      <c r="B22" s="46">
        <v>1</v>
      </c>
      <c r="C22" s="44">
        <v>3</v>
      </c>
      <c r="D22" s="44">
        <v>21</v>
      </c>
      <c r="E22" s="44">
        <v>14</v>
      </c>
      <c r="F22" s="44">
        <v>11</v>
      </c>
      <c r="G22" s="44">
        <v>4</v>
      </c>
      <c r="H22" s="50"/>
      <c r="I22" s="50"/>
      <c r="L22" s="48">
        <v>4</v>
      </c>
      <c r="M22" s="45" t="s">
        <v>463</v>
      </c>
      <c r="N22" s="45" t="s">
        <v>464</v>
      </c>
      <c r="O22" s="45" t="s">
        <v>464</v>
      </c>
      <c r="P22" s="45" t="s">
        <v>463</v>
      </c>
      <c r="Q22" s="45" t="s">
        <v>464</v>
      </c>
      <c r="S22" t="s">
        <v>483</v>
      </c>
      <c r="T22" s="8">
        <f>100*(COUNTIF(M19:Q23,"p"))/25</f>
        <v>44</v>
      </c>
      <c r="W22" s="46">
        <v>1</v>
      </c>
      <c r="X22" s="44" t="s">
        <v>462</v>
      </c>
      <c r="Y22" s="44">
        <v>14</v>
      </c>
      <c r="Z22" s="44">
        <v>5</v>
      </c>
      <c r="AA22" s="44">
        <v>7</v>
      </c>
      <c r="AB22" s="44">
        <v>26</v>
      </c>
      <c r="AC22" s="50"/>
      <c r="AD22" s="50"/>
      <c r="AG22" s="48">
        <v>4</v>
      </c>
      <c r="AH22" s="45" t="s">
        <v>382</v>
      </c>
      <c r="AI22" s="45" t="s">
        <v>462</v>
      </c>
      <c r="AJ22" s="45" t="s">
        <v>462</v>
      </c>
      <c r="AK22" s="45" t="s">
        <v>462</v>
      </c>
      <c r="AL22" s="45" t="s">
        <v>463</v>
      </c>
      <c r="AN22" t="s">
        <v>483</v>
      </c>
      <c r="AO22" s="8">
        <f>100*(COUNTIF(AH19:AL23,"p"))/25</f>
        <v>0</v>
      </c>
    </row>
    <row r="23" spans="2:41" ht="12.75">
      <c r="B23" s="46">
        <v>2</v>
      </c>
      <c r="C23" s="44">
        <v>12</v>
      </c>
      <c r="D23" s="44">
        <v>13</v>
      </c>
      <c r="E23" s="44">
        <v>10</v>
      </c>
      <c r="F23" s="44">
        <v>5</v>
      </c>
      <c r="G23" s="44">
        <v>6</v>
      </c>
      <c r="H23" s="50"/>
      <c r="I23" s="50"/>
      <c r="L23" s="48">
        <v>5</v>
      </c>
      <c r="M23" s="45" t="s">
        <v>463</v>
      </c>
      <c r="N23" s="45" t="s">
        <v>464</v>
      </c>
      <c r="O23" s="45" t="s">
        <v>463</v>
      </c>
      <c r="P23" s="45" t="s">
        <v>464</v>
      </c>
      <c r="Q23" s="45" t="s">
        <v>464</v>
      </c>
      <c r="S23" t="s">
        <v>484</v>
      </c>
      <c r="T23" s="8">
        <f>100*(COUNTIF(M19:Q23,"c"))/25</f>
        <v>0</v>
      </c>
      <c r="W23" s="46">
        <v>2</v>
      </c>
      <c r="X23" s="44">
        <v>26</v>
      </c>
      <c r="Y23" s="44">
        <v>10</v>
      </c>
      <c r="Z23" s="44">
        <v>11</v>
      </c>
      <c r="AA23" s="44">
        <v>4</v>
      </c>
      <c r="AB23" s="44" t="s">
        <v>463</v>
      </c>
      <c r="AC23" s="50"/>
      <c r="AD23" s="50"/>
      <c r="AG23" s="48">
        <v>5</v>
      </c>
      <c r="AH23" s="45" t="s">
        <v>463</v>
      </c>
      <c r="AI23" s="45" t="s">
        <v>462</v>
      </c>
      <c r="AJ23" s="45" t="s">
        <v>462</v>
      </c>
      <c r="AK23" s="45" t="s">
        <v>463</v>
      </c>
      <c r="AL23" s="45" t="s">
        <v>462</v>
      </c>
      <c r="AN23" t="s">
        <v>484</v>
      </c>
      <c r="AO23" s="8">
        <f>100*(COUNTIF(AH19:AL23,"c"))/25</f>
        <v>0</v>
      </c>
    </row>
    <row r="24" spans="23:41" ht="12.75">
      <c r="W24" s="4"/>
      <c r="X24" s="4"/>
      <c r="Y24" s="4"/>
      <c r="Z24" s="4"/>
      <c r="AA24" s="4"/>
      <c r="AB24" s="4"/>
      <c r="AC24" s="4"/>
      <c r="AD24" s="4"/>
      <c r="AO24" s="8"/>
    </row>
    <row r="25" spans="1:41" ht="12.75">
      <c r="A25" t="s">
        <v>470</v>
      </c>
      <c r="B25" s="11" t="s">
        <v>456</v>
      </c>
      <c r="C25" s="47" t="s">
        <v>457</v>
      </c>
      <c r="D25" s="47" t="s">
        <v>458</v>
      </c>
      <c r="E25" s="47" t="s">
        <v>459</v>
      </c>
      <c r="F25" s="47" t="s">
        <v>460</v>
      </c>
      <c r="G25" s="47" t="s">
        <v>461</v>
      </c>
      <c r="H25" s="49"/>
      <c r="I25"/>
      <c r="J25" s="8"/>
      <c r="L25" s="3"/>
      <c r="M25" s="3">
        <v>1</v>
      </c>
      <c r="N25" s="3">
        <v>2</v>
      </c>
      <c r="O25" s="3">
        <v>3</v>
      </c>
      <c r="P25" s="3">
        <v>4</v>
      </c>
      <c r="Q25" s="3">
        <v>5</v>
      </c>
      <c r="V25" t="s">
        <v>470</v>
      </c>
      <c r="W25" s="11" t="s">
        <v>456</v>
      </c>
      <c r="X25" s="47" t="s">
        <v>457</v>
      </c>
      <c r="Y25" s="47" t="s">
        <v>458</v>
      </c>
      <c r="Z25" s="47" t="s">
        <v>459</v>
      </c>
      <c r="AA25" s="47" t="s">
        <v>460</v>
      </c>
      <c r="AB25" s="47" t="s">
        <v>461</v>
      </c>
      <c r="AC25" s="49"/>
      <c r="AE25" s="8"/>
      <c r="AG25" s="3"/>
      <c r="AH25" s="3">
        <v>1</v>
      </c>
      <c r="AI25" s="3">
        <v>2</v>
      </c>
      <c r="AJ25" s="3">
        <v>3</v>
      </c>
      <c r="AK25" s="3">
        <v>4</v>
      </c>
      <c r="AL25" s="3">
        <v>5</v>
      </c>
      <c r="AO25" s="8"/>
    </row>
    <row r="26" spans="2:41" ht="12.75">
      <c r="B26" s="46">
        <v>-2</v>
      </c>
      <c r="C26" s="44">
        <v>15</v>
      </c>
      <c r="D26" s="44">
        <v>21</v>
      </c>
      <c r="E26" s="44">
        <v>9</v>
      </c>
      <c r="F26" s="44" t="s">
        <v>462</v>
      </c>
      <c r="G26" s="44">
        <v>13</v>
      </c>
      <c r="H26" s="50"/>
      <c r="I26" t="s">
        <v>480</v>
      </c>
      <c r="J26" s="8">
        <f>100*COUNTIF(C26:G30,"f")/25</f>
        <v>24</v>
      </c>
      <c r="L26" s="48">
        <v>1</v>
      </c>
      <c r="M26" s="45" t="s">
        <v>463</v>
      </c>
      <c r="N26" s="45" t="s">
        <v>463</v>
      </c>
      <c r="O26" s="45" t="s">
        <v>463</v>
      </c>
      <c r="P26" s="45" t="s">
        <v>463</v>
      </c>
      <c r="Q26" s="45" t="s">
        <v>463</v>
      </c>
      <c r="S26" t="s">
        <v>480</v>
      </c>
      <c r="T26" s="8">
        <f>100*COUNTIF(M26:Q30,"f")/25</f>
        <v>0</v>
      </c>
      <c r="W26" s="46">
        <v>-2</v>
      </c>
      <c r="X26" s="44">
        <v>4</v>
      </c>
      <c r="Y26" s="44">
        <v>16</v>
      </c>
      <c r="Z26" s="44">
        <v>25</v>
      </c>
      <c r="AA26" s="44">
        <v>9</v>
      </c>
      <c r="AB26" s="44">
        <v>4</v>
      </c>
      <c r="AC26" s="50"/>
      <c r="AD26" t="s">
        <v>480</v>
      </c>
      <c r="AE26" s="8">
        <f>100*COUNTIF(X26:AB30,"f")/25</f>
        <v>0</v>
      </c>
      <c r="AG26" s="48">
        <v>1</v>
      </c>
      <c r="AH26" s="45" t="s">
        <v>382</v>
      </c>
      <c r="AI26" s="45" t="s">
        <v>464</v>
      </c>
      <c r="AJ26" s="45" t="s">
        <v>464</v>
      </c>
      <c r="AK26" s="45" t="s">
        <v>464</v>
      </c>
      <c r="AL26" s="45" t="s">
        <v>382</v>
      </c>
      <c r="AN26" t="s">
        <v>480</v>
      </c>
      <c r="AO26" s="8">
        <f>100*COUNTIF(AH26:AL30,"f")/25</f>
        <v>0</v>
      </c>
    </row>
    <row r="27" spans="2:41" ht="12.75">
      <c r="B27" s="46">
        <v>-1</v>
      </c>
      <c r="C27" s="44">
        <v>27</v>
      </c>
      <c r="D27" s="44">
        <v>14</v>
      </c>
      <c r="E27" s="44">
        <v>13</v>
      </c>
      <c r="F27" s="44">
        <v>4</v>
      </c>
      <c r="G27" s="44">
        <v>25</v>
      </c>
      <c r="H27" s="50"/>
      <c r="I27" t="s">
        <v>481</v>
      </c>
      <c r="J27" s="8">
        <f>100*(COUNTIF(C26:G30,"s"))/25</f>
        <v>8</v>
      </c>
      <c r="L27" s="48">
        <v>2</v>
      </c>
      <c r="M27" s="45" t="s">
        <v>382</v>
      </c>
      <c r="N27" s="45" t="s">
        <v>463</v>
      </c>
      <c r="O27" s="45" t="s">
        <v>463</v>
      </c>
      <c r="P27" s="45" t="s">
        <v>463</v>
      </c>
      <c r="Q27" s="45" t="s">
        <v>463</v>
      </c>
      <c r="S27" t="s">
        <v>481</v>
      </c>
      <c r="T27" s="8">
        <f>100*(COUNTIF(M26:Q30,"s"))/25</f>
        <v>72</v>
      </c>
      <c r="W27" s="46">
        <v>-1</v>
      </c>
      <c r="X27" s="44">
        <v>11</v>
      </c>
      <c r="Y27" s="44">
        <v>9</v>
      </c>
      <c r="Z27" s="44">
        <v>24</v>
      </c>
      <c r="AA27" s="44">
        <v>10</v>
      </c>
      <c r="AB27" s="44">
        <v>18</v>
      </c>
      <c r="AC27" s="50"/>
      <c r="AD27" t="s">
        <v>481</v>
      </c>
      <c r="AE27" s="8">
        <f>100*(COUNTIF(X26:AB30,"s"))/25</f>
        <v>8</v>
      </c>
      <c r="AG27" s="48">
        <v>2</v>
      </c>
      <c r="AH27" s="45" t="s">
        <v>382</v>
      </c>
      <c r="AI27" s="45" t="s">
        <v>382</v>
      </c>
      <c r="AJ27" s="45" t="s">
        <v>464</v>
      </c>
      <c r="AK27" s="45" t="s">
        <v>464</v>
      </c>
      <c r="AL27" s="45" t="s">
        <v>464</v>
      </c>
      <c r="AN27" t="s">
        <v>481</v>
      </c>
      <c r="AO27" s="8">
        <f>100*(COUNTIF(AH26:AL30,"s"))/25</f>
        <v>0</v>
      </c>
    </row>
    <row r="28" spans="2:41" ht="12.75">
      <c r="B28" s="46">
        <v>0</v>
      </c>
      <c r="C28" s="44">
        <v>11</v>
      </c>
      <c r="D28" s="44">
        <v>16</v>
      </c>
      <c r="E28" s="44">
        <v>6</v>
      </c>
      <c r="F28" s="44">
        <v>10</v>
      </c>
      <c r="G28" s="44" t="s">
        <v>462</v>
      </c>
      <c r="H28" s="50"/>
      <c r="I28" s="50"/>
      <c r="L28" s="48">
        <v>3</v>
      </c>
      <c r="M28" s="45" t="s">
        <v>463</v>
      </c>
      <c r="N28" s="45" t="s">
        <v>382</v>
      </c>
      <c r="O28" s="45" t="s">
        <v>382</v>
      </c>
      <c r="P28" s="45" t="s">
        <v>463</v>
      </c>
      <c r="Q28" s="45" t="s">
        <v>463</v>
      </c>
      <c r="S28" t="s">
        <v>482</v>
      </c>
      <c r="T28" s="8">
        <f>100*(COUNTIF(M26:Q30,"g"))/25</f>
        <v>28</v>
      </c>
      <c r="W28" s="46">
        <v>0</v>
      </c>
      <c r="X28" s="44">
        <v>9</v>
      </c>
      <c r="Y28" s="44">
        <v>10</v>
      </c>
      <c r="Z28" s="44">
        <v>22</v>
      </c>
      <c r="AA28" s="44">
        <v>10</v>
      </c>
      <c r="AB28" s="44">
        <v>25</v>
      </c>
      <c r="AC28" s="50"/>
      <c r="AD28" s="50"/>
      <c r="AG28" s="48">
        <v>3</v>
      </c>
      <c r="AH28" s="45" t="s">
        <v>464</v>
      </c>
      <c r="AI28" s="45" t="s">
        <v>464</v>
      </c>
      <c r="AJ28" s="45" t="s">
        <v>464</v>
      </c>
      <c r="AK28" s="45" t="s">
        <v>382</v>
      </c>
      <c r="AL28" s="45" t="s">
        <v>382</v>
      </c>
      <c r="AN28" t="s">
        <v>482</v>
      </c>
      <c r="AO28" s="8">
        <f>100*(COUNTIF(AH26:AL30,"g"))/25</f>
        <v>48</v>
      </c>
    </row>
    <row r="29" spans="2:41" ht="12.75">
      <c r="B29" s="46">
        <v>1</v>
      </c>
      <c r="C29" s="44" t="s">
        <v>462</v>
      </c>
      <c r="D29" s="44">
        <v>6</v>
      </c>
      <c r="E29" s="44">
        <v>10</v>
      </c>
      <c r="F29" s="44" t="s">
        <v>463</v>
      </c>
      <c r="G29" s="44" t="s">
        <v>462</v>
      </c>
      <c r="H29" s="50"/>
      <c r="I29" s="50"/>
      <c r="L29" s="48">
        <v>4</v>
      </c>
      <c r="M29" s="45" t="s">
        <v>463</v>
      </c>
      <c r="N29" s="45" t="s">
        <v>382</v>
      </c>
      <c r="O29" s="45" t="s">
        <v>463</v>
      </c>
      <c r="P29" s="45" t="s">
        <v>463</v>
      </c>
      <c r="Q29" s="45" t="s">
        <v>463</v>
      </c>
      <c r="S29" t="s">
        <v>483</v>
      </c>
      <c r="T29" s="8">
        <f>100*(COUNTIF(M26:Q30,"p"))/25</f>
        <v>0</v>
      </c>
      <c r="W29" s="46">
        <v>1</v>
      </c>
      <c r="X29" s="44">
        <v>6</v>
      </c>
      <c r="Y29" s="44">
        <v>14</v>
      </c>
      <c r="Z29" s="44">
        <v>8</v>
      </c>
      <c r="AA29" s="44">
        <v>4</v>
      </c>
      <c r="AB29" s="44">
        <v>13</v>
      </c>
      <c r="AC29" s="50"/>
      <c r="AD29" s="50"/>
      <c r="AG29" s="48">
        <v>4</v>
      </c>
      <c r="AH29" s="45" t="s">
        <v>382</v>
      </c>
      <c r="AI29" s="45" t="s">
        <v>382</v>
      </c>
      <c r="AJ29" s="45" t="s">
        <v>382</v>
      </c>
      <c r="AK29" s="45" t="s">
        <v>464</v>
      </c>
      <c r="AL29" s="45" t="s">
        <v>464</v>
      </c>
      <c r="AN29" t="s">
        <v>483</v>
      </c>
      <c r="AO29" s="8">
        <f>100*(COUNTIF(AH26:AL30,"p"))/25</f>
        <v>52</v>
      </c>
    </row>
    <row r="30" spans="2:41" ht="12.75">
      <c r="B30" s="46">
        <v>2</v>
      </c>
      <c r="C30" s="44" t="s">
        <v>462</v>
      </c>
      <c r="D30" s="44">
        <v>12</v>
      </c>
      <c r="E30" s="44">
        <v>26</v>
      </c>
      <c r="F30" s="44" t="s">
        <v>463</v>
      </c>
      <c r="G30" s="44" t="s">
        <v>462</v>
      </c>
      <c r="H30" s="50"/>
      <c r="I30" s="50"/>
      <c r="L30" s="48">
        <v>5</v>
      </c>
      <c r="M30" s="45" t="s">
        <v>382</v>
      </c>
      <c r="N30" s="45" t="s">
        <v>463</v>
      </c>
      <c r="O30" s="45" t="s">
        <v>382</v>
      </c>
      <c r="P30" s="45" t="s">
        <v>382</v>
      </c>
      <c r="Q30" s="45" t="s">
        <v>463</v>
      </c>
      <c r="S30" t="s">
        <v>484</v>
      </c>
      <c r="T30" s="8">
        <f>100*(COUNTIF(M26:Q30,"c"))/25</f>
        <v>0</v>
      </c>
      <c r="W30" s="46">
        <v>2</v>
      </c>
      <c r="X30" s="44">
        <v>9</v>
      </c>
      <c r="Y30" s="44">
        <v>12</v>
      </c>
      <c r="Z30" s="44">
        <v>10</v>
      </c>
      <c r="AA30" s="44" t="s">
        <v>463</v>
      </c>
      <c r="AB30" s="44" t="s">
        <v>463</v>
      </c>
      <c r="AC30" s="50"/>
      <c r="AD30" s="50"/>
      <c r="AG30" s="48">
        <v>5</v>
      </c>
      <c r="AH30" s="45" t="s">
        <v>382</v>
      </c>
      <c r="AI30" s="45" t="s">
        <v>382</v>
      </c>
      <c r="AJ30" s="45" t="s">
        <v>382</v>
      </c>
      <c r="AK30" s="45" t="s">
        <v>464</v>
      </c>
      <c r="AL30" s="45" t="s">
        <v>464</v>
      </c>
      <c r="AN30" t="s">
        <v>484</v>
      </c>
      <c r="AO30" s="8">
        <f>100*(COUNTIF(AH26:AL30,"c"))/25</f>
        <v>0</v>
      </c>
    </row>
    <row r="31" spans="23:41" ht="12.75">
      <c r="W31" s="4"/>
      <c r="X31" s="4"/>
      <c r="Y31" s="4"/>
      <c r="Z31" s="4"/>
      <c r="AA31" s="4"/>
      <c r="AB31" s="4"/>
      <c r="AC31" s="4"/>
      <c r="AD31" s="4"/>
      <c r="AO31" s="8"/>
    </row>
    <row r="32" spans="1:41" ht="12.75">
      <c r="A32" t="s">
        <v>471</v>
      </c>
      <c r="B32" s="11" t="s">
        <v>456</v>
      </c>
      <c r="C32" s="47" t="s">
        <v>457</v>
      </c>
      <c r="D32" s="47" t="s">
        <v>458</v>
      </c>
      <c r="E32" s="47" t="s">
        <v>459</v>
      </c>
      <c r="F32" s="47" t="s">
        <v>460</v>
      </c>
      <c r="G32" s="47" t="s">
        <v>461</v>
      </c>
      <c r="H32" s="49"/>
      <c r="I32"/>
      <c r="J32" s="8"/>
      <c r="L32" s="3"/>
      <c r="M32" s="3">
        <v>1</v>
      </c>
      <c r="N32" s="3">
        <v>2</v>
      </c>
      <c r="O32" s="3">
        <v>3</v>
      </c>
      <c r="P32" s="3">
        <v>4</v>
      </c>
      <c r="Q32" s="3">
        <v>5</v>
      </c>
      <c r="V32" t="s">
        <v>471</v>
      </c>
      <c r="W32" s="11" t="s">
        <v>456</v>
      </c>
      <c r="X32" s="47" t="s">
        <v>457</v>
      </c>
      <c r="Y32" s="47" t="s">
        <v>458</v>
      </c>
      <c r="Z32" s="47" t="s">
        <v>459</v>
      </c>
      <c r="AA32" s="47" t="s">
        <v>460</v>
      </c>
      <c r="AB32" s="47" t="s">
        <v>461</v>
      </c>
      <c r="AC32" s="49"/>
      <c r="AE32" s="8"/>
      <c r="AG32" s="3"/>
      <c r="AH32" s="3">
        <v>1</v>
      </c>
      <c r="AI32" s="3">
        <v>2</v>
      </c>
      <c r="AJ32" s="3">
        <v>3</v>
      </c>
      <c r="AK32" s="3">
        <v>4</v>
      </c>
      <c r="AL32" s="3">
        <v>5</v>
      </c>
      <c r="AO32" s="8"/>
    </row>
    <row r="33" spans="2:41" ht="12.75">
      <c r="B33" s="46">
        <v>-2</v>
      </c>
      <c r="C33" s="44">
        <v>21</v>
      </c>
      <c r="D33" s="44">
        <v>4</v>
      </c>
      <c r="E33" s="44" t="s">
        <v>463</v>
      </c>
      <c r="F33" s="44">
        <v>4</v>
      </c>
      <c r="G33" s="44" t="s">
        <v>462</v>
      </c>
      <c r="H33" s="50"/>
      <c r="I33" t="s">
        <v>480</v>
      </c>
      <c r="J33" s="8">
        <f>100*COUNTIF(C33:G37,"f")/25</f>
        <v>32</v>
      </c>
      <c r="L33" s="48">
        <v>1</v>
      </c>
      <c r="M33" s="45" t="s">
        <v>463</v>
      </c>
      <c r="N33" s="45" t="s">
        <v>462</v>
      </c>
      <c r="O33" s="45" t="s">
        <v>462</v>
      </c>
      <c r="P33" s="45" t="s">
        <v>462</v>
      </c>
      <c r="Q33" s="45" t="s">
        <v>462</v>
      </c>
      <c r="S33" t="s">
        <v>480</v>
      </c>
      <c r="T33" s="8">
        <f>100*COUNTIF(M33:Q37,"f")/25</f>
        <v>64</v>
      </c>
      <c r="W33" s="46">
        <v>-2</v>
      </c>
      <c r="X33" s="44" t="s">
        <v>463</v>
      </c>
      <c r="Y33" s="44">
        <v>20</v>
      </c>
      <c r="Z33" s="44">
        <v>6</v>
      </c>
      <c r="AA33" s="44">
        <v>14</v>
      </c>
      <c r="AB33" s="44">
        <v>10</v>
      </c>
      <c r="AC33" s="50"/>
      <c r="AD33" t="s">
        <v>480</v>
      </c>
      <c r="AE33" s="8">
        <f>100*COUNTIF(X33:AB37,"f")/25</f>
        <v>4</v>
      </c>
      <c r="AG33" s="48">
        <v>1</v>
      </c>
      <c r="AH33" s="45" t="s">
        <v>463</v>
      </c>
      <c r="AI33" s="45" t="s">
        <v>464</v>
      </c>
      <c r="AJ33" s="45" t="s">
        <v>382</v>
      </c>
      <c r="AK33" s="45" t="s">
        <v>463</v>
      </c>
      <c r="AL33" s="45" t="s">
        <v>463</v>
      </c>
      <c r="AN33" t="s">
        <v>480</v>
      </c>
      <c r="AO33" s="8">
        <f>100*COUNTIF(AH33:AL37,"f")/25</f>
        <v>0</v>
      </c>
    </row>
    <row r="34" spans="2:41" ht="12.75">
      <c r="B34" s="46">
        <v>-1</v>
      </c>
      <c r="C34" s="44" t="s">
        <v>462</v>
      </c>
      <c r="D34" s="44">
        <v>22</v>
      </c>
      <c r="E34" s="44">
        <v>11</v>
      </c>
      <c r="F34" s="44">
        <v>17</v>
      </c>
      <c r="G34" s="44">
        <v>24</v>
      </c>
      <c r="H34" s="50"/>
      <c r="I34" t="s">
        <v>481</v>
      </c>
      <c r="J34" s="8">
        <f>100*(COUNTIF(C33:G37,"s"))/25</f>
        <v>4</v>
      </c>
      <c r="L34" s="48">
        <v>2</v>
      </c>
      <c r="M34" s="45" t="s">
        <v>462</v>
      </c>
      <c r="N34" s="45" t="s">
        <v>463</v>
      </c>
      <c r="O34" s="45" t="s">
        <v>463</v>
      </c>
      <c r="P34" s="45" t="s">
        <v>462</v>
      </c>
      <c r="Q34" s="45" t="s">
        <v>462</v>
      </c>
      <c r="S34" t="s">
        <v>481</v>
      </c>
      <c r="T34" s="8">
        <f>100*(COUNTIF(M33:Q37,"s"))/25</f>
        <v>36</v>
      </c>
      <c r="W34" s="46">
        <v>-1</v>
      </c>
      <c r="X34" s="44">
        <v>20</v>
      </c>
      <c r="Y34" s="44">
        <v>21</v>
      </c>
      <c r="Z34" s="44">
        <v>13</v>
      </c>
      <c r="AA34" s="44">
        <v>9</v>
      </c>
      <c r="AB34" s="44">
        <v>7</v>
      </c>
      <c r="AC34" s="50"/>
      <c r="AD34" t="s">
        <v>481</v>
      </c>
      <c r="AE34" s="8">
        <f>100*(COUNTIF(X33:AB37,"s"))/25</f>
        <v>4</v>
      </c>
      <c r="AG34" s="48">
        <v>2</v>
      </c>
      <c r="AH34" s="45" t="s">
        <v>463</v>
      </c>
      <c r="AI34" s="45" t="s">
        <v>382</v>
      </c>
      <c r="AJ34" s="45" t="s">
        <v>463</v>
      </c>
      <c r="AK34" s="45" t="s">
        <v>463</v>
      </c>
      <c r="AL34" s="45" t="s">
        <v>464</v>
      </c>
      <c r="AN34" t="s">
        <v>481</v>
      </c>
      <c r="AO34" s="8">
        <f>100*(COUNTIF(AH33:AL37,"s"))/25</f>
        <v>40</v>
      </c>
    </row>
    <row r="35" spans="2:41" ht="12.75">
      <c r="B35" s="46">
        <v>0</v>
      </c>
      <c r="C35" s="44" t="s">
        <v>462</v>
      </c>
      <c r="D35" s="44" t="s">
        <v>462</v>
      </c>
      <c r="E35" s="44">
        <v>11</v>
      </c>
      <c r="F35" s="44">
        <v>9</v>
      </c>
      <c r="G35" s="44">
        <v>17</v>
      </c>
      <c r="H35" s="50"/>
      <c r="I35" s="50"/>
      <c r="L35" s="48">
        <v>3</v>
      </c>
      <c r="M35" s="45" t="s">
        <v>463</v>
      </c>
      <c r="N35" s="45" t="s">
        <v>462</v>
      </c>
      <c r="O35" s="45" t="s">
        <v>463</v>
      </c>
      <c r="P35" s="45" t="s">
        <v>463</v>
      </c>
      <c r="Q35" s="45" t="s">
        <v>462</v>
      </c>
      <c r="S35" t="s">
        <v>482</v>
      </c>
      <c r="T35" s="8">
        <f>100*(COUNTIF(M33:Q37,"g"))/25</f>
        <v>0</v>
      </c>
      <c r="W35" s="46">
        <v>0</v>
      </c>
      <c r="X35" s="44">
        <v>26</v>
      </c>
      <c r="Y35" s="44">
        <v>10</v>
      </c>
      <c r="Z35" s="44">
        <v>15</v>
      </c>
      <c r="AA35" s="44">
        <v>24</v>
      </c>
      <c r="AB35" s="44">
        <v>11</v>
      </c>
      <c r="AC35" s="50"/>
      <c r="AD35" s="50"/>
      <c r="AG35" s="48">
        <v>3</v>
      </c>
      <c r="AH35" s="45" t="s">
        <v>382</v>
      </c>
      <c r="AI35" s="45" t="s">
        <v>382</v>
      </c>
      <c r="AJ35" s="45" t="s">
        <v>463</v>
      </c>
      <c r="AK35" s="45" t="s">
        <v>464</v>
      </c>
      <c r="AL35" s="45" t="s">
        <v>463</v>
      </c>
      <c r="AN35" t="s">
        <v>482</v>
      </c>
      <c r="AO35" s="8">
        <f>100*(COUNTIF(AH33:AL37,"g"))/25</f>
        <v>44</v>
      </c>
    </row>
    <row r="36" spans="2:41" ht="12.75">
      <c r="B36" s="46">
        <v>1</v>
      </c>
      <c r="C36" s="44" t="s">
        <v>462</v>
      </c>
      <c r="D36" s="44" t="s">
        <v>462</v>
      </c>
      <c r="E36" s="44">
        <v>22</v>
      </c>
      <c r="F36" s="44">
        <v>20</v>
      </c>
      <c r="G36" s="44">
        <v>7</v>
      </c>
      <c r="H36" s="50"/>
      <c r="I36" s="50"/>
      <c r="L36" s="48">
        <v>4</v>
      </c>
      <c r="M36" s="45" t="s">
        <v>462</v>
      </c>
      <c r="N36" s="45" t="s">
        <v>462</v>
      </c>
      <c r="O36" s="45" t="s">
        <v>462</v>
      </c>
      <c r="P36" s="45" t="s">
        <v>463</v>
      </c>
      <c r="Q36" s="45" t="s">
        <v>462</v>
      </c>
      <c r="S36" t="s">
        <v>483</v>
      </c>
      <c r="T36" s="8">
        <f>100*(COUNTIF(M33:Q37,"p"))/25</f>
        <v>0</v>
      </c>
      <c r="W36" s="46">
        <v>1</v>
      </c>
      <c r="X36" s="44">
        <v>24</v>
      </c>
      <c r="Y36" s="44">
        <v>14</v>
      </c>
      <c r="Z36" s="44">
        <v>17</v>
      </c>
      <c r="AA36" s="44">
        <v>12</v>
      </c>
      <c r="AB36" s="44">
        <v>26</v>
      </c>
      <c r="AC36" s="50"/>
      <c r="AD36" s="50"/>
      <c r="AG36" s="48">
        <v>4</v>
      </c>
      <c r="AH36" s="45" t="s">
        <v>463</v>
      </c>
      <c r="AI36" s="45" t="s">
        <v>382</v>
      </c>
      <c r="AJ36" s="45" t="s">
        <v>382</v>
      </c>
      <c r="AK36" s="45" t="s">
        <v>382</v>
      </c>
      <c r="AL36" s="45" t="s">
        <v>382</v>
      </c>
      <c r="AN36" t="s">
        <v>483</v>
      </c>
      <c r="AO36" s="8">
        <f>100*(COUNTIF(AH33:AL37,"p"))/25</f>
        <v>16</v>
      </c>
    </row>
    <row r="37" spans="2:41" ht="12.75">
      <c r="B37" s="46">
        <v>2</v>
      </c>
      <c r="C37" s="44" t="s">
        <v>462</v>
      </c>
      <c r="D37" s="44" t="s">
        <v>462</v>
      </c>
      <c r="E37" s="44">
        <v>25</v>
      </c>
      <c r="F37" s="44">
        <v>21</v>
      </c>
      <c r="G37" s="44">
        <v>22</v>
      </c>
      <c r="H37" s="50"/>
      <c r="I37" s="50"/>
      <c r="L37" s="48">
        <v>5</v>
      </c>
      <c r="M37" s="45" t="s">
        <v>462</v>
      </c>
      <c r="N37" s="45" t="s">
        <v>463</v>
      </c>
      <c r="O37" s="45" t="s">
        <v>462</v>
      </c>
      <c r="P37" s="45" t="s">
        <v>463</v>
      </c>
      <c r="Q37" s="45" t="s">
        <v>462</v>
      </c>
      <c r="S37" t="s">
        <v>484</v>
      </c>
      <c r="T37" s="8">
        <f>100*(COUNTIF(M33:Q37,"c"))/25</f>
        <v>0</v>
      </c>
      <c r="W37" s="46">
        <v>2</v>
      </c>
      <c r="X37" s="44">
        <v>12</v>
      </c>
      <c r="Y37" s="44">
        <v>17</v>
      </c>
      <c r="Z37" s="44">
        <v>17</v>
      </c>
      <c r="AA37" s="44">
        <v>18</v>
      </c>
      <c r="AB37" s="44" t="s">
        <v>462</v>
      </c>
      <c r="AC37" s="50"/>
      <c r="AD37" s="50"/>
      <c r="AG37" s="48">
        <v>5</v>
      </c>
      <c r="AH37" s="45" t="s">
        <v>463</v>
      </c>
      <c r="AI37" s="45" t="s">
        <v>382</v>
      </c>
      <c r="AJ37" s="45" t="s">
        <v>382</v>
      </c>
      <c r="AK37" s="45" t="s">
        <v>464</v>
      </c>
      <c r="AL37" s="45" t="s">
        <v>382</v>
      </c>
      <c r="AN37" t="s">
        <v>484</v>
      </c>
      <c r="AO37" s="8">
        <f>100*(COUNTIF(AH33:AL37,"c"))/25</f>
        <v>0</v>
      </c>
    </row>
    <row r="38" ht="12.75">
      <c r="AD38" s="4"/>
    </row>
    <row r="39" spans="1:41" ht="12.75">
      <c r="A39" s="3" t="s">
        <v>474</v>
      </c>
      <c r="B39" s="11"/>
      <c r="V39" s="51" t="s">
        <v>474</v>
      </c>
      <c r="W39" s="4"/>
      <c r="X39" s="4"/>
      <c r="Y39" s="4"/>
      <c r="Z39" s="4"/>
      <c r="AA39" s="4"/>
      <c r="AB39" s="4"/>
      <c r="AC39" s="4"/>
      <c r="AD39" s="4"/>
      <c r="AO39" s="8"/>
    </row>
    <row r="40" spans="2:41" ht="12.75">
      <c r="B40" s="106" t="s">
        <v>466</v>
      </c>
      <c r="C40" s="106"/>
      <c r="D40" s="106"/>
      <c r="E40" s="106"/>
      <c r="F40" s="106"/>
      <c r="G40" s="106"/>
      <c r="H40" s="49"/>
      <c r="I40" s="49"/>
      <c r="J40" s="3"/>
      <c r="K40" s="3"/>
      <c r="L40" s="106" t="s">
        <v>467</v>
      </c>
      <c r="M40" s="106"/>
      <c r="N40" s="106"/>
      <c r="O40" s="106"/>
      <c r="P40" s="106"/>
      <c r="Q40" s="106"/>
      <c r="W40" s="106" t="s">
        <v>466</v>
      </c>
      <c r="X40" s="106"/>
      <c r="Y40" s="106"/>
      <c r="Z40" s="106"/>
      <c r="AA40" s="106"/>
      <c r="AB40" s="106"/>
      <c r="AC40" s="49"/>
      <c r="AD40" s="49"/>
      <c r="AE40" s="3"/>
      <c r="AF40" s="3"/>
      <c r="AG40" s="106" t="s">
        <v>467</v>
      </c>
      <c r="AH40" s="106"/>
      <c r="AI40" s="106"/>
      <c r="AJ40" s="106"/>
      <c r="AK40" s="106"/>
      <c r="AL40" s="106"/>
      <c r="AO40" s="8"/>
    </row>
    <row r="41" spans="1:41" ht="12.75">
      <c r="A41" t="s">
        <v>465</v>
      </c>
      <c r="B41" s="11" t="s">
        <v>456</v>
      </c>
      <c r="C41" s="47" t="s">
        <v>457</v>
      </c>
      <c r="D41" s="47" t="s">
        <v>458</v>
      </c>
      <c r="E41" s="47" t="s">
        <v>459</v>
      </c>
      <c r="F41" s="47" t="s">
        <v>460</v>
      </c>
      <c r="G41" s="47" t="s">
        <v>461</v>
      </c>
      <c r="H41" s="49"/>
      <c r="I41"/>
      <c r="J41" s="8" t="s">
        <v>238</v>
      </c>
      <c r="L41" s="3"/>
      <c r="M41" s="3">
        <v>1</v>
      </c>
      <c r="N41" s="3">
        <v>2</v>
      </c>
      <c r="O41" s="3">
        <v>3</v>
      </c>
      <c r="P41" s="3">
        <v>4</v>
      </c>
      <c r="Q41" s="3">
        <v>5</v>
      </c>
      <c r="T41" s="8" t="s">
        <v>238</v>
      </c>
      <c r="V41" t="s">
        <v>465</v>
      </c>
      <c r="W41" s="11" t="s">
        <v>456</v>
      </c>
      <c r="X41" s="47" t="s">
        <v>457</v>
      </c>
      <c r="Y41" s="47" t="s">
        <v>458</v>
      </c>
      <c r="Z41" s="47" t="s">
        <v>459</v>
      </c>
      <c r="AA41" s="47" t="s">
        <v>460</v>
      </c>
      <c r="AB41" s="47" t="s">
        <v>461</v>
      </c>
      <c r="AC41" s="49"/>
      <c r="AE41" s="8" t="s">
        <v>238</v>
      </c>
      <c r="AG41" s="3"/>
      <c r="AH41" s="3">
        <v>1</v>
      </c>
      <c r="AI41" s="3">
        <v>2</v>
      </c>
      <c r="AJ41" s="3">
        <v>3</v>
      </c>
      <c r="AK41" s="3">
        <v>4</v>
      </c>
      <c r="AL41" s="3">
        <v>5</v>
      </c>
      <c r="AO41" s="8" t="s">
        <v>238</v>
      </c>
    </row>
    <row r="42" spans="2:41" ht="12.75">
      <c r="B42" s="46">
        <v>-2</v>
      </c>
      <c r="C42" s="44" t="s">
        <v>463</v>
      </c>
      <c r="D42" s="44">
        <v>30</v>
      </c>
      <c r="E42" s="44">
        <v>40</v>
      </c>
      <c r="F42" s="44" t="s">
        <v>463</v>
      </c>
      <c r="G42" s="44">
        <v>28</v>
      </c>
      <c r="H42" s="50"/>
      <c r="I42" t="s">
        <v>480</v>
      </c>
      <c r="J42" s="8">
        <f>100*COUNTIF(C42:G46,"f")/25</f>
        <v>12</v>
      </c>
      <c r="L42" s="48">
        <v>1</v>
      </c>
      <c r="M42" s="45" t="s">
        <v>464</v>
      </c>
      <c r="N42" s="45" t="s">
        <v>464</v>
      </c>
      <c r="O42" s="45" t="s">
        <v>382</v>
      </c>
      <c r="P42" s="45" t="s">
        <v>464</v>
      </c>
      <c r="Q42" s="45" t="s">
        <v>464</v>
      </c>
      <c r="S42" t="s">
        <v>480</v>
      </c>
      <c r="T42" s="8">
        <f>100*COUNTIF(M42:Q46,"f")/25</f>
        <v>0</v>
      </c>
      <c r="W42" s="46">
        <v>-2</v>
      </c>
      <c r="X42" s="44">
        <v>27</v>
      </c>
      <c r="Y42" s="44">
        <v>33</v>
      </c>
      <c r="Z42" s="44">
        <v>32</v>
      </c>
      <c r="AA42" s="44">
        <v>30</v>
      </c>
      <c r="AB42" s="44">
        <v>26</v>
      </c>
      <c r="AC42" s="50"/>
      <c r="AD42" t="s">
        <v>480</v>
      </c>
      <c r="AE42" s="8">
        <f>100*COUNTIF(X42:AB46,"f")/25</f>
        <v>0</v>
      </c>
      <c r="AG42" s="48">
        <v>1</v>
      </c>
      <c r="AH42" s="45" t="s">
        <v>382</v>
      </c>
      <c r="AI42" s="45" t="s">
        <v>464</v>
      </c>
      <c r="AJ42" s="45" t="s">
        <v>464</v>
      </c>
      <c r="AK42" s="45" t="s">
        <v>464</v>
      </c>
      <c r="AL42" s="45" t="s">
        <v>382</v>
      </c>
      <c r="AN42" t="s">
        <v>480</v>
      </c>
      <c r="AO42" s="8">
        <f>100*COUNTIF(AH42:AL46,"f")/25</f>
        <v>0</v>
      </c>
    </row>
    <row r="43" spans="2:41" ht="12.75">
      <c r="B43" s="46">
        <v>-1</v>
      </c>
      <c r="C43" s="44">
        <v>10</v>
      </c>
      <c r="D43" s="44" t="s">
        <v>463</v>
      </c>
      <c r="E43" s="44" t="s">
        <v>463</v>
      </c>
      <c r="F43" s="44">
        <v>26</v>
      </c>
      <c r="G43" s="44" t="s">
        <v>462</v>
      </c>
      <c r="H43" s="50"/>
      <c r="I43" t="s">
        <v>481</v>
      </c>
      <c r="J43" s="8">
        <f>100*(COUNTIF(C42:G46,"s"))/25</f>
        <v>24</v>
      </c>
      <c r="L43" s="48">
        <v>2</v>
      </c>
      <c r="M43" s="45" t="s">
        <v>464</v>
      </c>
      <c r="N43" s="45" t="s">
        <v>464</v>
      </c>
      <c r="O43" s="45" t="s">
        <v>463</v>
      </c>
      <c r="P43" s="45" t="s">
        <v>463</v>
      </c>
      <c r="Q43" s="45" t="s">
        <v>463</v>
      </c>
      <c r="S43" t="s">
        <v>481</v>
      </c>
      <c r="T43" s="8">
        <f>100*(COUNTIF(M42:Q46,"s"))/25</f>
        <v>48</v>
      </c>
      <c r="W43" s="46">
        <v>-1</v>
      </c>
      <c r="X43" s="44">
        <v>24</v>
      </c>
      <c r="Y43" s="44">
        <v>30</v>
      </c>
      <c r="Z43" s="44">
        <v>10</v>
      </c>
      <c r="AA43" s="44">
        <v>26</v>
      </c>
      <c r="AB43" s="44">
        <v>31</v>
      </c>
      <c r="AC43" s="50"/>
      <c r="AD43" t="s">
        <v>481</v>
      </c>
      <c r="AE43" s="8">
        <f>100*(COUNTIF(X42:AB46,"s"))/25</f>
        <v>16</v>
      </c>
      <c r="AG43" s="48">
        <v>2</v>
      </c>
      <c r="AH43" s="45" t="s">
        <v>464</v>
      </c>
      <c r="AI43" s="45" t="s">
        <v>464</v>
      </c>
      <c r="AJ43" s="45" t="s">
        <v>464</v>
      </c>
      <c r="AK43" s="45" t="s">
        <v>464</v>
      </c>
      <c r="AL43" s="45" t="s">
        <v>464</v>
      </c>
      <c r="AN43" t="s">
        <v>481</v>
      </c>
      <c r="AO43" s="8">
        <f>100*(COUNTIF(AH42:AL46,"s"))/25</f>
        <v>0</v>
      </c>
    </row>
    <row r="44" spans="2:41" ht="12.75">
      <c r="B44" s="46">
        <v>0</v>
      </c>
      <c r="C44" s="44">
        <v>35</v>
      </c>
      <c r="D44" s="44">
        <v>28</v>
      </c>
      <c r="E44" s="44" t="s">
        <v>463</v>
      </c>
      <c r="F44" s="44">
        <v>31</v>
      </c>
      <c r="G44" s="44" t="s">
        <v>462</v>
      </c>
      <c r="H44" s="50"/>
      <c r="I44" s="50"/>
      <c r="L44" s="48">
        <v>3</v>
      </c>
      <c r="M44" s="45" t="s">
        <v>463</v>
      </c>
      <c r="N44" s="45" t="s">
        <v>463</v>
      </c>
      <c r="O44" s="45" t="s">
        <v>464</v>
      </c>
      <c r="P44" s="45" t="s">
        <v>464</v>
      </c>
      <c r="Q44" s="45" t="s">
        <v>463</v>
      </c>
      <c r="S44" t="s">
        <v>482</v>
      </c>
      <c r="T44" s="8">
        <f>100*(COUNTIF(M42:Q46,"g"))/25</f>
        <v>12</v>
      </c>
      <c r="W44" s="46">
        <v>0</v>
      </c>
      <c r="X44" s="44" t="s">
        <v>463</v>
      </c>
      <c r="Y44" s="44">
        <v>33</v>
      </c>
      <c r="Z44" s="44">
        <v>11</v>
      </c>
      <c r="AA44" s="44">
        <v>25</v>
      </c>
      <c r="AB44" s="44">
        <v>31</v>
      </c>
      <c r="AC44" s="50"/>
      <c r="AD44" s="50"/>
      <c r="AG44" s="48">
        <v>3</v>
      </c>
      <c r="AH44" s="45" t="s">
        <v>382</v>
      </c>
      <c r="AI44" s="45" t="s">
        <v>382</v>
      </c>
      <c r="AJ44" s="45" t="s">
        <v>464</v>
      </c>
      <c r="AK44" s="45" t="s">
        <v>382</v>
      </c>
      <c r="AL44" s="45" t="s">
        <v>464</v>
      </c>
      <c r="AN44" t="s">
        <v>482</v>
      </c>
      <c r="AO44" s="8">
        <f>100*(COUNTIF(AH42:AL46,"g"))/25</f>
        <v>36</v>
      </c>
    </row>
    <row r="45" spans="2:41" ht="12.75">
      <c r="B45" s="46">
        <v>1</v>
      </c>
      <c r="C45" s="44">
        <v>27</v>
      </c>
      <c r="D45" s="44">
        <v>4</v>
      </c>
      <c r="E45" s="44">
        <v>35</v>
      </c>
      <c r="F45" s="44">
        <v>31</v>
      </c>
      <c r="G45" s="44" t="s">
        <v>463</v>
      </c>
      <c r="H45" s="50"/>
      <c r="I45" s="50"/>
      <c r="L45" s="48">
        <v>4</v>
      </c>
      <c r="M45" s="45" t="s">
        <v>463</v>
      </c>
      <c r="N45" s="45" t="s">
        <v>463</v>
      </c>
      <c r="O45" s="45" t="s">
        <v>464</v>
      </c>
      <c r="P45" s="45" t="s">
        <v>464</v>
      </c>
      <c r="Q45" s="45" t="s">
        <v>382</v>
      </c>
      <c r="S45" t="s">
        <v>483</v>
      </c>
      <c r="T45" s="8">
        <f>100*(COUNTIF(M42:Q46,"p"))/25</f>
        <v>40</v>
      </c>
      <c r="W45" s="46">
        <v>1</v>
      </c>
      <c r="X45" s="44" t="s">
        <v>463</v>
      </c>
      <c r="Y45" s="44">
        <v>16</v>
      </c>
      <c r="Z45" s="44" t="s">
        <v>463</v>
      </c>
      <c r="AA45" s="44">
        <v>32</v>
      </c>
      <c r="AB45" s="44">
        <v>22</v>
      </c>
      <c r="AC45" s="50"/>
      <c r="AD45" s="50"/>
      <c r="AG45" s="48">
        <v>4</v>
      </c>
      <c r="AH45" s="45" t="s">
        <v>382</v>
      </c>
      <c r="AI45" s="45" t="s">
        <v>464</v>
      </c>
      <c r="AJ45" s="45" t="s">
        <v>382</v>
      </c>
      <c r="AK45" s="45" t="s">
        <v>464</v>
      </c>
      <c r="AL45" s="45" t="s">
        <v>464</v>
      </c>
      <c r="AN45" t="s">
        <v>483</v>
      </c>
      <c r="AO45" s="8">
        <f>100*(COUNTIF(AH42:AL46,"p"))/25</f>
        <v>64</v>
      </c>
    </row>
    <row r="46" spans="2:41" ht="12.75">
      <c r="B46" s="46">
        <v>2</v>
      </c>
      <c r="C46" s="44" t="s">
        <v>462</v>
      </c>
      <c r="D46" s="44">
        <v>29</v>
      </c>
      <c r="E46" s="44">
        <v>24</v>
      </c>
      <c r="F46" s="44">
        <v>35</v>
      </c>
      <c r="G46" s="44">
        <v>75</v>
      </c>
      <c r="H46" s="50"/>
      <c r="I46" s="50"/>
      <c r="L46" s="48">
        <v>5</v>
      </c>
      <c r="M46" s="45" t="s">
        <v>463</v>
      </c>
      <c r="N46" s="45" t="s">
        <v>463</v>
      </c>
      <c r="O46" s="45" t="s">
        <v>463</v>
      </c>
      <c r="P46" s="45" t="s">
        <v>382</v>
      </c>
      <c r="Q46" s="45" t="s">
        <v>463</v>
      </c>
      <c r="S46" t="s">
        <v>484</v>
      </c>
      <c r="T46" s="8">
        <f>100*(COUNTIF(M42:Q46,"c"))/25</f>
        <v>0</v>
      </c>
      <c r="W46" s="46">
        <v>2</v>
      </c>
      <c r="X46" s="44" t="s">
        <v>463</v>
      </c>
      <c r="Y46" s="44">
        <v>40</v>
      </c>
      <c r="Z46" s="44">
        <v>28</v>
      </c>
      <c r="AA46" s="44">
        <v>25</v>
      </c>
      <c r="AB46" s="44">
        <v>29</v>
      </c>
      <c r="AC46" s="50"/>
      <c r="AD46" s="50"/>
      <c r="AG46" s="48">
        <v>5</v>
      </c>
      <c r="AH46" s="45" t="s">
        <v>382</v>
      </c>
      <c r="AI46" s="45" t="s">
        <v>464</v>
      </c>
      <c r="AJ46" s="45" t="s">
        <v>464</v>
      </c>
      <c r="AK46" s="45" t="s">
        <v>464</v>
      </c>
      <c r="AL46" s="45" t="s">
        <v>382</v>
      </c>
      <c r="AN46" t="s">
        <v>484</v>
      </c>
      <c r="AO46" s="8">
        <f>100*(COUNTIF(AH42:AL46,"c"))/25</f>
        <v>0</v>
      </c>
    </row>
    <row r="47" spans="23:41" ht="12.75">
      <c r="W47" s="4"/>
      <c r="X47" s="4"/>
      <c r="Y47" s="4"/>
      <c r="Z47" s="4"/>
      <c r="AA47" s="4"/>
      <c r="AB47" s="4"/>
      <c r="AC47" s="4"/>
      <c r="AD47" s="4"/>
      <c r="AO47" s="8"/>
    </row>
    <row r="48" spans="1:41" ht="12.75">
      <c r="A48" t="s">
        <v>468</v>
      </c>
      <c r="B48" s="11" t="s">
        <v>456</v>
      </c>
      <c r="C48" s="47" t="s">
        <v>457</v>
      </c>
      <c r="D48" s="47" t="s">
        <v>458</v>
      </c>
      <c r="E48" s="47" t="s">
        <v>459</v>
      </c>
      <c r="F48" s="47" t="s">
        <v>460</v>
      </c>
      <c r="G48" s="47" t="s">
        <v>461</v>
      </c>
      <c r="H48" s="49"/>
      <c r="I48"/>
      <c r="J48" s="8"/>
      <c r="L48" s="3"/>
      <c r="M48" s="3">
        <v>1</v>
      </c>
      <c r="N48" s="3">
        <v>2</v>
      </c>
      <c r="O48" s="3">
        <v>3</v>
      </c>
      <c r="P48" s="3">
        <v>4</v>
      </c>
      <c r="Q48" s="3">
        <v>5</v>
      </c>
      <c r="V48" t="s">
        <v>468</v>
      </c>
      <c r="W48" s="11" t="s">
        <v>456</v>
      </c>
      <c r="X48" s="47" t="s">
        <v>457</v>
      </c>
      <c r="Y48" s="47" t="s">
        <v>458</v>
      </c>
      <c r="Z48" s="47" t="s">
        <v>459</v>
      </c>
      <c r="AA48" s="47" t="s">
        <v>460</v>
      </c>
      <c r="AB48" s="47" t="s">
        <v>461</v>
      </c>
      <c r="AC48" s="49"/>
      <c r="AE48" s="8"/>
      <c r="AG48" s="3"/>
      <c r="AH48" s="3">
        <v>1</v>
      </c>
      <c r="AI48" s="3">
        <v>2</v>
      </c>
      <c r="AJ48" s="3">
        <v>3</v>
      </c>
      <c r="AK48" s="3">
        <v>4</v>
      </c>
      <c r="AL48" s="3">
        <v>5</v>
      </c>
      <c r="AO48" s="8"/>
    </row>
    <row r="49" spans="2:41" ht="12.75">
      <c r="B49" s="46">
        <v>-2</v>
      </c>
      <c r="C49" s="44" t="s">
        <v>463</v>
      </c>
      <c r="D49" s="44">
        <v>16</v>
      </c>
      <c r="E49" s="44">
        <v>36</v>
      </c>
      <c r="F49" s="44">
        <v>27</v>
      </c>
      <c r="G49" s="44">
        <v>7</v>
      </c>
      <c r="H49" s="50"/>
      <c r="I49" t="s">
        <v>480</v>
      </c>
      <c r="J49" s="8">
        <f>100*COUNTIF(C49:G53,"f")/25</f>
        <v>4</v>
      </c>
      <c r="L49" s="48">
        <v>1</v>
      </c>
      <c r="M49" s="45" t="s">
        <v>463</v>
      </c>
      <c r="N49" s="45" t="s">
        <v>463</v>
      </c>
      <c r="O49" s="45" t="s">
        <v>463</v>
      </c>
      <c r="P49" s="45" t="s">
        <v>463</v>
      </c>
      <c r="Q49" s="45" t="s">
        <v>463</v>
      </c>
      <c r="S49" t="s">
        <v>480</v>
      </c>
      <c r="T49" s="8">
        <f>100*COUNTIF(M49:Q53,"f")/25</f>
        <v>0</v>
      </c>
      <c r="W49" s="46">
        <v>-2</v>
      </c>
      <c r="X49" s="44">
        <v>20</v>
      </c>
      <c r="Y49" s="44">
        <v>30</v>
      </c>
      <c r="Z49" s="44">
        <v>21</v>
      </c>
      <c r="AA49" s="44">
        <v>29</v>
      </c>
      <c r="AB49" s="44" t="s">
        <v>463</v>
      </c>
      <c r="AC49" s="50"/>
      <c r="AD49" t="s">
        <v>480</v>
      </c>
      <c r="AE49" s="8">
        <f>100*COUNTIF(X49:AB53,"f")/25</f>
        <v>0</v>
      </c>
      <c r="AG49" s="48">
        <v>1</v>
      </c>
      <c r="AH49" s="45" t="s">
        <v>464</v>
      </c>
      <c r="AI49" s="45" t="s">
        <v>382</v>
      </c>
      <c r="AJ49" s="45" t="s">
        <v>382</v>
      </c>
      <c r="AK49" s="45" t="s">
        <v>382</v>
      </c>
      <c r="AL49" s="45" t="s">
        <v>382</v>
      </c>
      <c r="AN49" t="s">
        <v>480</v>
      </c>
      <c r="AO49" s="8">
        <f>100*COUNTIF(AH49:AL53,"f")/25</f>
        <v>0</v>
      </c>
    </row>
    <row r="50" spans="2:41" ht="12.75">
      <c r="B50" s="46">
        <v>-1</v>
      </c>
      <c r="C50" s="44">
        <v>30</v>
      </c>
      <c r="D50" s="44" t="s">
        <v>463</v>
      </c>
      <c r="E50" s="44">
        <v>31</v>
      </c>
      <c r="F50" s="44">
        <v>13</v>
      </c>
      <c r="G50" s="44">
        <v>3</v>
      </c>
      <c r="H50" s="50"/>
      <c r="I50" t="s">
        <v>481</v>
      </c>
      <c r="J50" s="8">
        <f>100*(COUNTIF(C49:G53,"s"))/25</f>
        <v>28</v>
      </c>
      <c r="L50" s="48">
        <v>2</v>
      </c>
      <c r="M50" s="45" t="s">
        <v>463</v>
      </c>
      <c r="N50" s="45" t="s">
        <v>463</v>
      </c>
      <c r="O50" s="45" t="s">
        <v>463</v>
      </c>
      <c r="P50" s="45" t="s">
        <v>463</v>
      </c>
      <c r="Q50" s="45" t="s">
        <v>463</v>
      </c>
      <c r="S50" t="s">
        <v>481</v>
      </c>
      <c r="T50" s="8">
        <f>100*(COUNTIF(M49:Q53,"s"))/25</f>
        <v>100</v>
      </c>
      <c r="W50" s="46">
        <v>-1</v>
      </c>
      <c r="X50" s="44">
        <v>25</v>
      </c>
      <c r="Y50" s="44">
        <v>31</v>
      </c>
      <c r="Z50" s="44">
        <v>38</v>
      </c>
      <c r="AA50" s="44">
        <v>44</v>
      </c>
      <c r="AB50" s="44">
        <v>32</v>
      </c>
      <c r="AC50" s="50"/>
      <c r="AD50" t="s">
        <v>481</v>
      </c>
      <c r="AE50" s="8">
        <f>100*(COUNTIF(X49:AB53,"s"))/25</f>
        <v>4</v>
      </c>
      <c r="AG50" s="48">
        <v>2</v>
      </c>
      <c r="AH50" s="45" t="s">
        <v>382</v>
      </c>
      <c r="AI50" s="45" t="s">
        <v>382</v>
      </c>
      <c r="AJ50" s="45" t="s">
        <v>382</v>
      </c>
      <c r="AK50" s="45" t="s">
        <v>382</v>
      </c>
      <c r="AL50" s="45" t="s">
        <v>382</v>
      </c>
      <c r="AN50" t="s">
        <v>481</v>
      </c>
      <c r="AO50" s="8">
        <f>100*(COUNTIF(AH49:AL53,"s"))/25</f>
        <v>0</v>
      </c>
    </row>
    <row r="51" spans="2:41" ht="12.75">
      <c r="B51" s="46">
        <v>0</v>
      </c>
      <c r="C51" s="44">
        <v>29</v>
      </c>
      <c r="D51" s="44">
        <v>15</v>
      </c>
      <c r="E51" s="44">
        <v>42</v>
      </c>
      <c r="F51" s="44" t="s">
        <v>462</v>
      </c>
      <c r="G51" s="44" t="s">
        <v>463</v>
      </c>
      <c r="H51" s="50"/>
      <c r="I51" s="50"/>
      <c r="L51" s="48">
        <v>3</v>
      </c>
      <c r="M51" s="45" t="s">
        <v>463</v>
      </c>
      <c r="N51" s="45" t="s">
        <v>463</v>
      </c>
      <c r="O51" s="45" t="s">
        <v>463</v>
      </c>
      <c r="P51" s="45" t="s">
        <v>463</v>
      </c>
      <c r="Q51" s="45" t="s">
        <v>463</v>
      </c>
      <c r="S51" t="s">
        <v>482</v>
      </c>
      <c r="T51" s="8">
        <f>100*(COUNTIF(M49:Q53,"g"))/25</f>
        <v>0</v>
      </c>
      <c r="W51" s="46">
        <v>0</v>
      </c>
      <c r="X51" s="44">
        <v>24</v>
      </c>
      <c r="Y51" s="44">
        <v>32</v>
      </c>
      <c r="Z51" s="44">
        <v>25</v>
      </c>
      <c r="AA51" s="44">
        <v>10</v>
      </c>
      <c r="AB51" s="44">
        <v>34</v>
      </c>
      <c r="AC51" s="50"/>
      <c r="AD51" s="50"/>
      <c r="AG51" s="48">
        <v>3</v>
      </c>
      <c r="AH51" s="45" t="s">
        <v>382</v>
      </c>
      <c r="AI51" s="45" t="s">
        <v>382</v>
      </c>
      <c r="AJ51" s="45" t="s">
        <v>464</v>
      </c>
      <c r="AK51" s="45" t="s">
        <v>464</v>
      </c>
      <c r="AL51" s="45" t="s">
        <v>382</v>
      </c>
      <c r="AN51" t="s">
        <v>482</v>
      </c>
      <c r="AO51" s="8">
        <f>100*(COUNTIF(AH49:AL53,"g"))/25</f>
        <v>84</v>
      </c>
    </row>
    <row r="52" spans="2:41" ht="12.75">
      <c r="B52" s="46">
        <v>1</v>
      </c>
      <c r="C52" s="44">
        <v>43</v>
      </c>
      <c r="D52" s="44">
        <v>30</v>
      </c>
      <c r="E52" s="44">
        <v>38</v>
      </c>
      <c r="F52" s="44" t="s">
        <v>463</v>
      </c>
      <c r="G52" s="44" t="s">
        <v>463</v>
      </c>
      <c r="H52" s="50"/>
      <c r="I52" s="50"/>
      <c r="L52" s="48">
        <v>4</v>
      </c>
      <c r="M52" s="45" t="s">
        <v>463</v>
      </c>
      <c r="N52" s="45" t="s">
        <v>463</v>
      </c>
      <c r="O52" s="45" t="s">
        <v>463</v>
      </c>
      <c r="P52" s="45" t="s">
        <v>463</v>
      </c>
      <c r="Q52" s="45" t="s">
        <v>463</v>
      </c>
      <c r="S52" t="s">
        <v>483</v>
      </c>
      <c r="T52" s="8">
        <f>100*(COUNTIF(M49:Q53,"p"))/25</f>
        <v>0</v>
      </c>
      <c r="W52" s="46">
        <v>1</v>
      </c>
      <c r="X52" s="44">
        <v>38</v>
      </c>
      <c r="Y52" s="44">
        <v>32</v>
      </c>
      <c r="Z52" s="44">
        <v>8</v>
      </c>
      <c r="AA52" s="44">
        <v>37</v>
      </c>
      <c r="AB52" s="44">
        <v>28</v>
      </c>
      <c r="AC52" s="50"/>
      <c r="AD52" s="50"/>
      <c r="AG52" s="48">
        <v>4</v>
      </c>
      <c r="AH52" s="45" t="s">
        <v>382</v>
      </c>
      <c r="AI52" s="45" t="s">
        <v>382</v>
      </c>
      <c r="AJ52" s="45" t="s">
        <v>382</v>
      </c>
      <c r="AK52" s="45" t="s">
        <v>382</v>
      </c>
      <c r="AL52" s="45" t="s">
        <v>382</v>
      </c>
      <c r="AN52" t="s">
        <v>483</v>
      </c>
      <c r="AO52" s="8">
        <f>100*(COUNTIF(AH49:AL53,"p"))/25</f>
        <v>16</v>
      </c>
    </row>
    <row r="53" spans="2:41" ht="12.75">
      <c r="B53" s="46">
        <v>2</v>
      </c>
      <c r="C53" s="44" t="s">
        <v>463</v>
      </c>
      <c r="D53" s="44">
        <v>29</v>
      </c>
      <c r="E53" s="44">
        <v>12</v>
      </c>
      <c r="F53" s="44">
        <v>31</v>
      </c>
      <c r="G53" s="44" t="s">
        <v>463</v>
      </c>
      <c r="H53" s="50"/>
      <c r="I53" s="50"/>
      <c r="L53" s="48">
        <v>5</v>
      </c>
      <c r="M53" s="45" t="s">
        <v>463</v>
      </c>
      <c r="N53" s="45" t="s">
        <v>463</v>
      </c>
      <c r="O53" s="45" t="s">
        <v>463</v>
      </c>
      <c r="P53" s="45" t="s">
        <v>463</v>
      </c>
      <c r="Q53" s="45" t="s">
        <v>463</v>
      </c>
      <c r="S53" t="s">
        <v>484</v>
      </c>
      <c r="T53" s="8">
        <f>100*(COUNTIF(M49:Q53,"c"))/25</f>
        <v>0</v>
      </c>
      <c r="W53" s="46">
        <v>2</v>
      </c>
      <c r="X53" s="44">
        <v>44</v>
      </c>
      <c r="Y53" s="44">
        <v>42</v>
      </c>
      <c r="Z53" s="44">
        <v>11</v>
      </c>
      <c r="AA53" s="44">
        <v>9</v>
      </c>
      <c r="AB53" s="44">
        <v>10</v>
      </c>
      <c r="AC53" s="50"/>
      <c r="AD53" s="50"/>
      <c r="AG53" s="48">
        <v>5</v>
      </c>
      <c r="AH53" s="45" t="s">
        <v>382</v>
      </c>
      <c r="AI53" s="45" t="s">
        <v>382</v>
      </c>
      <c r="AJ53" s="45" t="s">
        <v>464</v>
      </c>
      <c r="AK53" s="45" t="s">
        <v>382</v>
      </c>
      <c r="AL53" s="45" t="s">
        <v>382</v>
      </c>
      <c r="AN53" t="s">
        <v>484</v>
      </c>
      <c r="AO53" s="8">
        <f>100*(COUNTIF(AH49:AL53,"c"))/25</f>
        <v>0</v>
      </c>
    </row>
    <row r="54" spans="23:41" ht="12.75">
      <c r="W54" s="4"/>
      <c r="X54" s="4"/>
      <c r="Y54" s="4"/>
      <c r="Z54" s="4"/>
      <c r="AA54" s="4"/>
      <c r="AB54" s="4"/>
      <c r="AC54" s="4"/>
      <c r="AD54" s="4"/>
      <c r="AO54" s="8"/>
    </row>
    <row r="55" spans="1:41" ht="12.75">
      <c r="A55" t="s">
        <v>469</v>
      </c>
      <c r="B55" s="11" t="s">
        <v>456</v>
      </c>
      <c r="C55" s="47" t="s">
        <v>457</v>
      </c>
      <c r="D55" s="47" t="s">
        <v>458</v>
      </c>
      <c r="E55" s="47" t="s">
        <v>459</v>
      </c>
      <c r="F55" s="47" t="s">
        <v>460</v>
      </c>
      <c r="G55" s="47" t="s">
        <v>461</v>
      </c>
      <c r="H55" s="49"/>
      <c r="I55"/>
      <c r="J55" s="8"/>
      <c r="L55" s="3"/>
      <c r="M55" s="3">
        <v>1</v>
      </c>
      <c r="N55" s="3">
        <v>2</v>
      </c>
      <c r="O55" s="3">
        <v>3</v>
      </c>
      <c r="P55" s="3">
        <v>4</v>
      </c>
      <c r="Q55" s="3">
        <v>5</v>
      </c>
      <c r="V55" t="s">
        <v>469</v>
      </c>
      <c r="W55" s="11" t="s">
        <v>456</v>
      </c>
      <c r="X55" s="47" t="s">
        <v>457</v>
      </c>
      <c r="Y55" s="47" t="s">
        <v>458</v>
      </c>
      <c r="Z55" s="47" t="s">
        <v>459</v>
      </c>
      <c r="AA55" s="47" t="s">
        <v>460</v>
      </c>
      <c r="AB55" s="47" t="s">
        <v>461</v>
      </c>
      <c r="AC55" s="49"/>
      <c r="AE55" s="8"/>
      <c r="AG55" s="3"/>
      <c r="AH55" s="3">
        <v>1</v>
      </c>
      <c r="AI55" s="3">
        <v>2</v>
      </c>
      <c r="AJ55" s="3">
        <v>3</v>
      </c>
      <c r="AK55" s="3">
        <v>4</v>
      </c>
      <c r="AL55" s="3">
        <v>5</v>
      </c>
      <c r="AO55" s="8"/>
    </row>
    <row r="56" spans="2:41" ht="12.75">
      <c r="B56" s="46">
        <v>-2</v>
      </c>
      <c r="C56" s="44">
        <v>7</v>
      </c>
      <c r="D56" s="44" t="s">
        <v>463</v>
      </c>
      <c r="E56" s="44">
        <v>12</v>
      </c>
      <c r="F56" s="44">
        <v>26</v>
      </c>
      <c r="G56" s="44">
        <v>20</v>
      </c>
      <c r="H56" s="50"/>
      <c r="I56" t="s">
        <v>480</v>
      </c>
      <c r="J56" s="8">
        <f>100*COUNTIF(C56:G60,"f")/25</f>
        <v>12</v>
      </c>
      <c r="L56" s="48">
        <v>1</v>
      </c>
      <c r="M56" s="45" t="s">
        <v>464</v>
      </c>
      <c r="N56" s="45" t="s">
        <v>464</v>
      </c>
      <c r="O56" s="45" t="s">
        <v>464</v>
      </c>
      <c r="P56" s="45" t="s">
        <v>382</v>
      </c>
      <c r="Q56" s="45" t="s">
        <v>464</v>
      </c>
      <c r="S56" t="s">
        <v>480</v>
      </c>
      <c r="T56" s="8">
        <f>100*COUNTIF(M56:Q60,"f")/25</f>
        <v>0</v>
      </c>
      <c r="W56" s="46">
        <v>-2</v>
      </c>
      <c r="X56" s="44">
        <v>42</v>
      </c>
      <c r="Y56" s="44">
        <v>16</v>
      </c>
      <c r="Z56" s="44">
        <v>35</v>
      </c>
      <c r="AA56" s="44">
        <v>26</v>
      </c>
      <c r="AB56" s="44">
        <v>42</v>
      </c>
      <c r="AC56" s="50"/>
      <c r="AD56" t="s">
        <v>480</v>
      </c>
      <c r="AE56" s="8">
        <f>100*COUNTIF(X56:AB60,"f")/25</f>
        <v>0</v>
      </c>
      <c r="AG56" s="48">
        <v>1</v>
      </c>
      <c r="AH56" s="45" t="s">
        <v>382</v>
      </c>
      <c r="AI56" s="45" t="s">
        <v>382</v>
      </c>
      <c r="AJ56" s="45" t="s">
        <v>463</v>
      </c>
      <c r="AK56" s="45" t="s">
        <v>382</v>
      </c>
      <c r="AL56" s="45" t="s">
        <v>464</v>
      </c>
      <c r="AN56" t="s">
        <v>480</v>
      </c>
      <c r="AO56" s="8">
        <f>100*COUNTIF(AH56:AL60,"f")/25</f>
        <v>4</v>
      </c>
    </row>
    <row r="57" spans="2:41" ht="12.75">
      <c r="B57" s="46">
        <v>-1</v>
      </c>
      <c r="C57" s="44">
        <v>27</v>
      </c>
      <c r="D57" s="44">
        <v>14</v>
      </c>
      <c r="E57" s="44" t="s">
        <v>462</v>
      </c>
      <c r="F57" s="44">
        <v>19</v>
      </c>
      <c r="G57" s="44">
        <v>9</v>
      </c>
      <c r="H57" s="50"/>
      <c r="I57" t="s">
        <v>481</v>
      </c>
      <c r="J57" s="8">
        <f>100*(COUNTIF(C56:G60,"s"))/25</f>
        <v>12</v>
      </c>
      <c r="L57" s="48">
        <v>2</v>
      </c>
      <c r="M57" s="45" t="s">
        <v>464</v>
      </c>
      <c r="N57" s="45" t="s">
        <v>464</v>
      </c>
      <c r="O57" s="45" t="s">
        <v>464</v>
      </c>
      <c r="P57" s="45" t="s">
        <v>464</v>
      </c>
      <c r="Q57" s="45" t="s">
        <v>382</v>
      </c>
      <c r="S57" t="s">
        <v>481</v>
      </c>
      <c r="T57" s="8">
        <f>100*(COUNTIF(M56:Q60,"s"))/25</f>
        <v>4</v>
      </c>
      <c r="W57" s="46">
        <v>-1</v>
      </c>
      <c r="X57" s="44">
        <v>35</v>
      </c>
      <c r="Y57" s="44">
        <v>3</v>
      </c>
      <c r="Z57" s="44">
        <v>37</v>
      </c>
      <c r="AA57" s="44">
        <v>33</v>
      </c>
      <c r="AB57" s="44">
        <v>34</v>
      </c>
      <c r="AC57" s="50"/>
      <c r="AD57" t="s">
        <v>481</v>
      </c>
      <c r="AE57" s="8">
        <f>100*(COUNTIF(X56:AB60,"s"))/25</f>
        <v>12</v>
      </c>
      <c r="AG57" s="48">
        <v>2</v>
      </c>
      <c r="AH57" s="45" t="s">
        <v>464</v>
      </c>
      <c r="AI57" s="45" t="s">
        <v>382</v>
      </c>
      <c r="AJ57" s="45" t="s">
        <v>463</v>
      </c>
      <c r="AK57" s="45" t="s">
        <v>463</v>
      </c>
      <c r="AL57" s="45" t="s">
        <v>464</v>
      </c>
      <c r="AN57" t="s">
        <v>481</v>
      </c>
      <c r="AO57" s="8">
        <f>100*(COUNTIF(AH56:AL60,"s"))/25</f>
        <v>16</v>
      </c>
    </row>
    <row r="58" spans="2:41" ht="12.75">
      <c r="B58" s="46">
        <v>0</v>
      </c>
      <c r="C58" s="44">
        <v>42</v>
      </c>
      <c r="D58" s="44">
        <v>38</v>
      </c>
      <c r="E58" s="44">
        <v>35</v>
      </c>
      <c r="F58" s="44" t="s">
        <v>463</v>
      </c>
      <c r="G58" s="44" t="s">
        <v>463</v>
      </c>
      <c r="H58" s="50"/>
      <c r="I58" s="50"/>
      <c r="L58" s="48">
        <v>3</v>
      </c>
      <c r="M58" s="45" t="s">
        <v>464</v>
      </c>
      <c r="N58" s="45" t="s">
        <v>382</v>
      </c>
      <c r="O58" s="45" t="s">
        <v>464</v>
      </c>
      <c r="P58" s="45" t="s">
        <v>464</v>
      </c>
      <c r="Q58" s="45" t="s">
        <v>464</v>
      </c>
      <c r="S58" t="s">
        <v>482</v>
      </c>
      <c r="T58" s="8">
        <f>100*(COUNTIF(M56:Q60,"g"))/25</f>
        <v>20</v>
      </c>
      <c r="W58" s="46">
        <v>0</v>
      </c>
      <c r="X58" s="44">
        <v>27</v>
      </c>
      <c r="Y58" s="44">
        <v>5</v>
      </c>
      <c r="Z58" s="44">
        <v>27</v>
      </c>
      <c r="AA58" s="44">
        <v>29</v>
      </c>
      <c r="AB58" s="44">
        <v>39</v>
      </c>
      <c r="AC58" s="50"/>
      <c r="AD58" s="50"/>
      <c r="AG58" s="48">
        <v>3</v>
      </c>
      <c r="AH58" s="45" t="s">
        <v>464</v>
      </c>
      <c r="AI58" s="45" t="s">
        <v>382</v>
      </c>
      <c r="AJ58" s="45" t="s">
        <v>462</v>
      </c>
      <c r="AK58" s="45" t="s">
        <v>464</v>
      </c>
      <c r="AL58" s="45" t="s">
        <v>464</v>
      </c>
      <c r="AN58" t="s">
        <v>482</v>
      </c>
      <c r="AO58" s="8">
        <f>100*(COUNTIF(AH56:AL60,"g"))/25</f>
        <v>40</v>
      </c>
    </row>
    <row r="59" spans="2:41" ht="12.75">
      <c r="B59" s="46">
        <v>1</v>
      </c>
      <c r="C59" s="44" t="s">
        <v>462</v>
      </c>
      <c r="D59" s="44">
        <v>42</v>
      </c>
      <c r="E59" s="44">
        <v>24</v>
      </c>
      <c r="F59" s="44">
        <v>31</v>
      </c>
      <c r="G59" s="44">
        <v>23</v>
      </c>
      <c r="H59" s="50"/>
      <c r="I59" s="50"/>
      <c r="L59" s="48">
        <v>4</v>
      </c>
      <c r="M59" s="45" t="s">
        <v>464</v>
      </c>
      <c r="N59" s="45" t="s">
        <v>382</v>
      </c>
      <c r="O59" s="45" t="s">
        <v>464</v>
      </c>
      <c r="P59" s="45" t="s">
        <v>464</v>
      </c>
      <c r="Q59" s="45" t="s">
        <v>464</v>
      </c>
      <c r="S59" t="s">
        <v>483</v>
      </c>
      <c r="T59" s="8">
        <f>100*(COUNTIF(M56:Q60,"p"))/25</f>
        <v>76</v>
      </c>
      <c r="W59" s="46">
        <v>1</v>
      </c>
      <c r="X59" s="44">
        <v>26</v>
      </c>
      <c r="Y59" s="44">
        <v>40</v>
      </c>
      <c r="Z59" s="44" t="s">
        <v>463</v>
      </c>
      <c r="AA59" s="44">
        <v>4</v>
      </c>
      <c r="AB59" s="44">
        <v>29</v>
      </c>
      <c r="AC59" s="50"/>
      <c r="AD59" s="50"/>
      <c r="AG59" s="48">
        <v>4</v>
      </c>
      <c r="AH59" s="45" t="s">
        <v>464</v>
      </c>
      <c r="AI59" s="45" t="s">
        <v>382</v>
      </c>
      <c r="AJ59" s="45" t="s">
        <v>464</v>
      </c>
      <c r="AK59" s="45" t="s">
        <v>382</v>
      </c>
      <c r="AL59" s="45" t="s">
        <v>382</v>
      </c>
      <c r="AN59" t="s">
        <v>483</v>
      </c>
      <c r="AO59" s="8">
        <f>100*(COUNTIF(AH56:AL60,"p"))/25</f>
        <v>40</v>
      </c>
    </row>
    <row r="60" spans="2:41" ht="12.75">
      <c r="B60" s="46">
        <v>2</v>
      </c>
      <c r="C60" s="44" t="s">
        <v>462</v>
      </c>
      <c r="D60" s="44">
        <v>29</v>
      </c>
      <c r="E60" s="44">
        <v>32</v>
      </c>
      <c r="F60" s="44">
        <v>30</v>
      </c>
      <c r="G60" s="44">
        <v>7</v>
      </c>
      <c r="H60" s="50"/>
      <c r="I60" s="50"/>
      <c r="L60" s="48">
        <v>5</v>
      </c>
      <c r="M60" s="45" t="s">
        <v>463</v>
      </c>
      <c r="N60" s="45" t="s">
        <v>464</v>
      </c>
      <c r="O60" s="45" t="s">
        <v>464</v>
      </c>
      <c r="P60" s="45" t="s">
        <v>382</v>
      </c>
      <c r="Q60" s="45" t="s">
        <v>464</v>
      </c>
      <c r="S60" t="s">
        <v>484</v>
      </c>
      <c r="T60" s="8">
        <f>100*(COUNTIF(M56:Q60,"c"))/25</f>
        <v>0</v>
      </c>
      <c r="W60" s="46">
        <v>2</v>
      </c>
      <c r="X60" s="44">
        <v>30</v>
      </c>
      <c r="Y60" s="44">
        <v>38</v>
      </c>
      <c r="Z60" s="44" t="s">
        <v>463</v>
      </c>
      <c r="AA60" s="44" t="s">
        <v>463</v>
      </c>
      <c r="AB60" s="44">
        <v>25</v>
      </c>
      <c r="AC60" s="50"/>
      <c r="AD60" s="50"/>
      <c r="AG60" s="48">
        <v>5</v>
      </c>
      <c r="AH60" s="45" t="s">
        <v>382</v>
      </c>
      <c r="AI60" s="45" t="s">
        <v>463</v>
      </c>
      <c r="AJ60" s="45" t="s">
        <v>464</v>
      </c>
      <c r="AK60" s="45" t="s">
        <v>464</v>
      </c>
      <c r="AL60" s="45" t="s">
        <v>382</v>
      </c>
      <c r="AN60" t="s">
        <v>484</v>
      </c>
      <c r="AO60" s="8">
        <f>100*(COUNTIF(AH56:AL60,"c"))/25</f>
        <v>0</v>
      </c>
    </row>
    <row r="61" spans="23:41" ht="12.75">
      <c r="W61" s="4"/>
      <c r="X61" s="4"/>
      <c r="Y61" s="4"/>
      <c r="Z61" s="4"/>
      <c r="AA61" s="4"/>
      <c r="AB61" s="4"/>
      <c r="AC61" s="4"/>
      <c r="AD61" s="4"/>
      <c r="AO61" s="8"/>
    </row>
    <row r="62" spans="1:41" ht="12.75">
      <c r="A62" t="s">
        <v>470</v>
      </c>
      <c r="B62" s="11" t="s">
        <v>456</v>
      </c>
      <c r="C62" s="47" t="s">
        <v>457</v>
      </c>
      <c r="D62" s="47" t="s">
        <v>458</v>
      </c>
      <c r="E62" s="47" t="s">
        <v>459</v>
      </c>
      <c r="F62" s="47" t="s">
        <v>460</v>
      </c>
      <c r="G62" s="47" t="s">
        <v>461</v>
      </c>
      <c r="H62" s="49"/>
      <c r="I62"/>
      <c r="J62" s="8"/>
      <c r="L62" s="3"/>
      <c r="M62" s="3">
        <v>1</v>
      </c>
      <c r="N62" s="3">
        <v>2</v>
      </c>
      <c r="O62" s="3">
        <v>3</v>
      </c>
      <c r="P62" s="3">
        <v>4</v>
      </c>
      <c r="Q62" s="3">
        <v>5</v>
      </c>
      <c r="V62" t="s">
        <v>470</v>
      </c>
      <c r="W62" s="11" t="s">
        <v>456</v>
      </c>
      <c r="X62" s="47" t="s">
        <v>457</v>
      </c>
      <c r="Y62" s="47" t="s">
        <v>458</v>
      </c>
      <c r="Z62" s="47" t="s">
        <v>459</v>
      </c>
      <c r="AA62" s="47" t="s">
        <v>460</v>
      </c>
      <c r="AB62" s="47" t="s">
        <v>461</v>
      </c>
      <c r="AC62" s="49"/>
      <c r="AE62" s="8"/>
      <c r="AG62" s="3"/>
      <c r="AH62" s="3">
        <v>1</v>
      </c>
      <c r="AI62" s="3">
        <v>2</v>
      </c>
      <c r="AJ62" s="3">
        <v>3</v>
      </c>
      <c r="AK62" s="3">
        <v>4</v>
      </c>
      <c r="AL62" s="3">
        <v>5</v>
      </c>
      <c r="AO62" s="8"/>
    </row>
    <row r="63" spans="2:41" ht="12.75">
      <c r="B63" s="46">
        <v>-2</v>
      </c>
      <c r="C63" s="44">
        <v>42</v>
      </c>
      <c r="D63" s="44">
        <v>31</v>
      </c>
      <c r="E63" s="44">
        <v>25</v>
      </c>
      <c r="F63" s="44">
        <v>27</v>
      </c>
      <c r="G63" s="44">
        <v>27</v>
      </c>
      <c r="H63" s="50"/>
      <c r="I63" t="s">
        <v>480</v>
      </c>
      <c r="J63" s="8">
        <f>100*COUNTIF(C63:G67,"f")/25</f>
        <v>0</v>
      </c>
      <c r="L63" s="48">
        <v>1</v>
      </c>
      <c r="M63" s="45" t="s">
        <v>382</v>
      </c>
      <c r="N63" s="45" t="s">
        <v>382</v>
      </c>
      <c r="O63" s="45" t="s">
        <v>382</v>
      </c>
      <c r="P63" s="45" t="s">
        <v>382</v>
      </c>
      <c r="Q63" s="45" t="s">
        <v>382</v>
      </c>
      <c r="S63" t="s">
        <v>480</v>
      </c>
      <c r="T63" s="8">
        <f>100*COUNTIF(M63:Q67,"f")/25</f>
        <v>0</v>
      </c>
      <c r="W63" s="46">
        <v>-2</v>
      </c>
      <c r="X63" s="44">
        <v>36</v>
      </c>
      <c r="Y63" s="44">
        <v>35</v>
      </c>
      <c r="Z63" s="44">
        <v>31</v>
      </c>
      <c r="AA63" s="44">
        <v>22</v>
      </c>
      <c r="AB63" s="44" t="s">
        <v>463</v>
      </c>
      <c r="AC63" s="50"/>
      <c r="AD63" t="s">
        <v>480</v>
      </c>
      <c r="AE63" s="8">
        <f>100*COUNTIF(X63:AB67,"f")/25</f>
        <v>0</v>
      </c>
      <c r="AG63" s="48">
        <v>1</v>
      </c>
      <c r="AH63" s="45" t="s">
        <v>463</v>
      </c>
      <c r="AI63" s="45" t="s">
        <v>463</v>
      </c>
      <c r="AJ63" s="45" t="s">
        <v>382</v>
      </c>
      <c r="AK63" s="45" t="s">
        <v>382</v>
      </c>
      <c r="AL63" s="45" t="s">
        <v>382</v>
      </c>
      <c r="AN63" t="s">
        <v>480</v>
      </c>
      <c r="AO63" s="8">
        <f>100*COUNTIF(AH63:AL67,"f")/25</f>
        <v>0</v>
      </c>
    </row>
    <row r="64" spans="2:41" ht="12.75">
      <c r="B64" s="46">
        <v>-1</v>
      </c>
      <c r="C64" s="44">
        <v>33</v>
      </c>
      <c r="D64" s="44">
        <v>24</v>
      </c>
      <c r="E64" s="44">
        <v>29</v>
      </c>
      <c r="F64" s="44">
        <v>22</v>
      </c>
      <c r="G64" s="44">
        <v>32</v>
      </c>
      <c r="H64" s="50"/>
      <c r="I64" t="s">
        <v>481</v>
      </c>
      <c r="J64" s="8">
        <f>100*(COUNTIF(C63:G67,"s"))/25</f>
        <v>0</v>
      </c>
      <c r="L64" s="48">
        <v>2</v>
      </c>
      <c r="M64" s="45" t="s">
        <v>464</v>
      </c>
      <c r="N64" s="45" t="s">
        <v>463</v>
      </c>
      <c r="O64" s="45" t="s">
        <v>464</v>
      </c>
      <c r="P64" s="45" t="s">
        <v>382</v>
      </c>
      <c r="Q64" s="45" t="s">
        <v>463</v>
      </c>
      <c r="S64" t="s">
        <v>481</v>
      </c>
      <c r="T64" s="8">
        <f>100*(COUNTIF(M63:Q67,"s"))/25</f>
        <v>40</v>
      </c>
      <c r="W64" s="46">
        <v>-1</v>
      </c>
      <c r="X64" s="44">
        <v>39</v>
      </c>
      <c r="Y64" s="44">
        <v>32</v>
      </c>
      <c r="Z64" s="44">
        <v>31</v>
      </c>
      <c r="AA64" s="44">
        <v>24</v>
      </c>
      <c r="AB64" s="44">
        <v>36</v>
      </c>
      <c r="AC64" s="50"/>
      <c r="AD64" t="s">
        <v>481</v>
      </c>
      <c r="AE64" s="8">
        <f>100*(COUNTIF(X63:AB67,"s"))/25</f>
        <v>4</v>
      </c>
      <c r="AG64" s="48">
        <v>2</v>
      </c>
      <c r="AH64" s="45" t="s">
        <v>464</v>
      </c>
      <c r="AI64" s="45" t="s">
        <v>463</v>
      </c>
      <c r="AJ64" s="45" t="s">
        <v>463</v>
      </c>
      <c r="AK64" s="45" t="s">
        <v>463</v>
      </c>
      <c r="AL64" s="45" t="s">
        <v>382</v>
      </c>
      <c r="AN64" t="s">
        <v>481</v>
      </c>
      <c r="AO64" s="8">
        <f>100*(COUNTIF(AH63:AL67,"s"))/25</f>
        <v>48</v>
      </c>
    </row>
    <row r="65" spans="2:41" ht="12.75">
      <c r="B65" s="46">
        <v>0</v>
      </c>
      <c r="C65" s="44">
        <v>30</v>
      </c>
      <c r="D65" s="44">
        <v>30</v>
      </c>
      <c r="E65" s="44">
        <v>32</v>
      </c>
      <c r="F65" s="44">
        <v>35</v>
      </c>
      <c r="G65" s="44">
        <v>8</v>
      </c>
      <c r="H65" s="50"/>
      <c r="I65" s="50"/>
      <c r="L65" s="48">
        <v>3</v>
      </c>
      <c r="M65" s="45" t="s">
        <v>464</v>
      </c>
      <c r="N65" s="45" t="s">
        <v>464</v>
      </c>
      <c r="O65" s="45" t="s">
        <v>463</v>
      </c>
      <c r="P65" s="45" t="s">
        <v>463</v>
      </c>
      <c r="Q65" s="45" t="s">
        <v>463</v>
      </c>
      <c r="S65" t="s">
        <v>482</v>
      </c>
      <c r="T65" s="8">
        <f>100*(COUNTIF(M63:Q67,"g"))/25</f>
        <v>36</v>
      </c>
      <c r="W65" s="46">
        <v>0</v>
      </c>
      <c r="X65" s="44">
        <v>43</v>
      </c>
      <c r="Y65" s="44">
        <v>35</v>
      </c>
      <c r="Z65" s="44">
        <v>34</v>
      </c>
      <c r="AA65" s="44">
        <v>22</v>
      </c>
      <c r="AB65" s="44">
        <v>11</v>
      </c>
      <c r="AC65" s="50"/>
      <c r="AD65" s="50"/>
      <c r="AG65" s="48">
        <v>3</v>
      </c>
      <c r="AH65" s="45" t="s">
        <v>463</v>
      </c>
      <c r="AI65" s="45" t="s">
        <v>382</v>
      </c>
      <c r="AJ65" s="45" t="s">
        <v>382</v>
      </c>
      <c r="AK65" s="45" t="s">
        <v>463</v>
      </c>
      <c r="AL65" s="45" t="s">
        <v>382</v>
      </c>
      <c r="AN65" t="s">
        <v>482</v>
      </c>
      <c r="AO65" s="8">
        <f>100*(COUNTIF(AH63:AL67,"g"))/25</f>
        <v>40</v>
      </c>
    </row>
    <row r="66" spans="2:41" ht="12.75">
      <c r="B66" s="46">
        <v>1</v>
      </c>
      <c r="C66" s="44">
        <v>33</v>
      </c>
      <c r="D66" s="44">
        <v>9</v>
      </c>
      <c r="E66" s="44">
        <v>25</v>
      </c>
      <c r="F66" s="44">
        <v>32</v>
      </c>
      <c r="G66" s="44">
        <v>31</v>
      </c>
      <c r="H66" s="50"/>
      <c r="I66" s="50"/>
      <c r="L66" s="48">
        <v>4</v>
      </c>
      <c r="M66" s="45" t="s">
        <v>382</v>
      </c>
      <c r="N66" s="45" t="s">
        <v>382</v>
      </c>
      <c r="O66" s="45" t="s">
        <v>382</v>
      </c>
      <c r="P66" s="45" t="s">
        <v>463</v>
      </c>
      <c r="Q66" s="45" t="s">
        <v>464</v>
      </c>
      <c r="S66" t="s">
        <v>483</v>
      </c>
      <c r="T66" s="8">
        <f>100*(COUNTIF(M63:Q67,"p"))/25</f>
        <v>24</v>
      </c>
      <c r="W66" s="46">
        <v>1</v>
      </c>
      <c r="X66" s="44">
        <v>33</v>
      </c>
      <c r="Y66" s="44">
        <v>30</v>
      </c>
      <c r="Z66" s="44">
        <v>28</v>
      </c>
      <c r="AA66" s="44">
        <v>26</v>
      </c>
      <c r="AB66" s="44">
        <v>35</v>
      </c>
      <c r="AC66" s="50"/>
      <c r="AD66" s="50"/>
      <c r="AG66" s="48">
        <v>4</v>
      </c>
      <c r="AH66" s="45" t="s">
        <v>464</v>
      </c>
      <c r="AI66" s="45" t="s">
        <v>463</v>
      </c>
      <c r="AJ66" s="45" t="s">
        <v>463</v>
      </c>
      <c r="AK66" s="45" t="s">
        <v>463</v>
      </c>
      <c r="AL66" s="45" t="s">
        <v>464</v>
      </c>
      <c r="AN66" t="s">
        <v>483</v>
      </c>
      <c r="AO66" s="8">
        <f>100*(COUNTIF(AH63:AL67,"p"))/25</f>
        <v>12</v>
      </c>
    </row>
    <row r="67" spans="2:41" ht="12.75">
      <c r="B67" s="46">
        <v>2</v>
      </c>
      <c r="C67" s="44">
        <v>34</v>
      </c>
      <c r="D67" s="44">
        <v>42</v>
      </c>
      <c r="E67" s="44">
        <v>28</v>
      </c>
      <c r="F67" s="44">
        <v>33</v>
      </c>
      <c r="G67" s="44">
        <v>84</v>
      </c>
      <c r="H67" s="50"/>
      <c r="I67" s="50"/>
      <c r="L67" s="48">
        <v>5</v>
      </c>
      <c r="M67" s="45" t="s">
        <v>463</v>
      </c>
      <c r="N67" s="45" t="s">
        <v>463</v>
      </c>
      <c r="O67" s="45" t="s">
        <v>463</v>
      </c>
      <c r="P67" s="45" t="s">
        <v>463</v>
      </c>
      <c r="Q67" s="45" t="s">
        <v>464</v>
      </c>
      <c r="S67" t="s">
        <v>484</v>
      </c>
      <c r="T67" s="8">
        <f>100*(COUNTIF(M63:Q67,"c"))/25</f>
        <v>0</v>
      </c>
      <c r="W67" s="46">
        <v>2</v>
      </c>
      <c r="X67" s="44">
        <v>30</v>
      </c>
      <c r="Y67" s="44">
        <v>30</v>
      </c>
      <c r="Z67" s="44">
        <v>29</v>
      </c>
      <c r="AA67" s="44">
        <v>20</v>
      </c>
      <c r="AB67" s="44">
        <v>26</v>
      </c>
      <c r="AC67" s="50"/>
      <c r="AD67" s="50"/>
      <c r="AG67" s="48">
        <v>5</v>
      </c>
      <c r="AH67" s="45" t="s">
        <v>463</v>
      </c>
      <c r="AI67" s="45" t="s">
        <v>463</v>
      </c>
      <c r="AJ67" s="45" t="s">
        <v>382</v>
      </c>
      <c r="AK67" s="45" t="s">
        <v>382</v>
      </c>
      <c r="AL67" s="45" t="s">
        <v>382</v>
      </c>
      <c r="AN67" t="s">
        <v>484</v>
      </c>
      <c r="AO67" s="8">
        <f>100*(COUNTIF(AH63:AL67,"c"))/25</f>
        <v>0</v>
      </c>
    </row>
    <row r="68" spans="23:41" ht="12.75">
      <c r="W68" s="4"/>
      <c r="X68" s="4"/>
      <c r="Y68" s="4"/>
      <c r="Z68" s="4"/>
      <c r="AA68" s="4"/>
      <c r="AB68" s="4"/>
      <c r="AC68" s="4"/>
      <c r="AD68" s="4"/>
      <c r="AO68" s="8"/>
    </row>
    <row r="69" spans="1:41" ht="12.75">
      <c r="A69" t="s">
        <v>471</v>
      </c>
      <c r="B69" s="11" t="s">
        <v>456</v>
      </c>
      <c r="C69" s="47" t="s">
        <v>457</v>
      </c>
      <c r="D69" s="47" t="s">
        <v>458</v>
      </c>
      <c r="E69" s="47" t="s">
        <v>459</v>
      </c>
      <c r="F69" s="47" t="s">
        <v>460</v>
      </c>
      <c r="G69" s="47" t="s">
        <v>461</v>
      </c>
      <c r="H69" s="49"/>
      <c r="I69"/>
      <c r="J69" s="8"/>
      <c r="L69" s="3"/>
      <c r="M69" s="3">
        <v>1</v>
      </c>
      <c r="N69" s="3">
        <v>2</v>
      </c>
      <c r="O69" s="3">
        <v>3</v>
      </c>
      <c r="P69" s="3">
        <v>4</v>
      </c>
      <c r="Q69" s="3">
        <v>5</v>
      </c>
      <c r="V69" t="s">
        <v>471</v>
      </c>
      <c r="W69" s="11" t="s">
        <v>456</v>
      </c>
      <c r="X69" s="47" t="s">
        <v>457</v>
      </c>
      <c r="Y69" s="47" t="s">
        <v>458</v>
      </c>
      <c r="Z69" s="47" t="s">
        <v>459</v>
      </c>
      <c r="AA69" s="47" t="s">
        <v>460</v>
      </c>
      <c r="AB69" s="47" t="s">
        <v>461</v>
      </c>
      <c r="AC69" s="49"/>
      <c r="AE69" s="8"/>
      <c r="AG69" s="3"/>
      <c r="AH69" s="3">
        <v>1</v>
      </c>
      <c r="AI69" s="3">
        <v>2</v>
      </c>
      <c r="AJ69" s="3">
        <v>3</v>
      </c>
      <c r="AK69" s="3">
        <v>4</v>
      </c>
      <c r="AL69" s="3">
        <v>5</v>
      </c>
      <c r="AO69" s="8"/>
    </row>
    <row r="70" spans="2:41" ht="12.75">
      <c r="B70" s="46">
        <v>-2</v>
      </c>
      <c r="C70" s="44">
        <v>27</v>
      </c>
      <c r="D70" s="44">
        <v>34</v>
      </c>
      <c r="E70" s="44">
        <v>34</v>
      </c>
      <c r="F70" s="44">
        <v>32</v>
      </c>
      <c r="G70" s="44">
        <v>27</v>
      </c>
      <c r="H70" s="50"/>
      <c r="I70" t="s">
        <v>480</v>
      </c>
      <c r="J70" s="8">
        <f>100*COUNTIF(C70:G74,"f")/25</f>
        <v>0</v>
      </c>
      <c r="L70" s="48">
        <v>1</v>
      </c>
      <c r="M70" s="45" t="s">
        <v>463</v>
      </c>
      <c r="N70" s="45" t="s">
        <v>463</v>
      </c>
      <c r="O70" s="45" t="s">
        <v>464</v>
      </c>
      <c r="P70" s="45" t="s">
        <v>463</v>
      </c>
      <c r="Q70" s="45" t="s">
        <v>464</v>
      </c>
      <c r="S70" t="s">
        <v>480</v>
      </c>
      <c r="T70" s="8">
        <f>100*COUNTIF(M70:Q74,"f")/25</f>
        <v>0</v>
      </c>
      <c r="W70" s="46">
        <v>-2</v>
      </c>
      <c r="X70" s="44">
        <v>27</v>
      </c>
      <c r="Y70" s="44">
        <v>31</v>
      </c>
      <c r="Z70" s="44">
        <v>27</v>
      </c>
      <c r="AA70" s="44">
        <v>18</v>
      </c>
      <c r="AB70" s="44">
        <v>29</v>
      </c>
      <c r="AC70" s="50"/>
      <c r="AD70" t="s">
        <v>480</v>
      </c>
      <c r="AE70" s="8">
        <f>100*COUNTIF(X70:AB74,"f")/25</f>
        <v>0</v>
      </c>
      <c r="AG70" s="48">
        <v>1</v>
      </c>
      <c r="AH70" s="45" t="s">
        <v>462</v>
      </c>
      <c r="AI70" s="45" t="s">
        <v>462</v>
      </c>
      <c r="AJ70" s="45" t="s">
        <v>462</v>
      </c>
      <c r="AK70" s="45" t="s">
        <v>462</v>
      </c>
      <c r="AL70" s="45" t="s">
        <v>463</v>
      </c>
      <c r="AN70" t="s">
        <v>480</v>
      </c>
      <c r="AO70" s="8">
        <f>100*COUNTIF(AH70:AL74,"f")/25</f>
        <v>40</v>
      </c>
    </row>
    <row r="71" spans="2:41" ht="12.75">
      <c r="B71" s="46">
        <v>-1</v>
      </c>
      <c r="C71" s="44">
        <v>39</v>
      </c>
      <c r="D71" s="44">
        <v>27</v>
      </c>
      <c r="E71" s="44">
        <v>23</v>
      </c>
      <c r="F71" s="44">
        <v>28</v>
      </c>
      <c r="G71" s="44">
        <v>36</v>
      </c>
      <c r="H71" s="50"/>
      <c r="I71" t="s">
        <v>481</v>
      </c>
      <c r="J71" s="8">
        <f>100*(COUNTIF(C70:G74,"s"))/25</f>
        <v>0</v>
      </c>
      <c r="L71" s="48">
        <v>2</v>
      </c>
      <c r="M71" s="45" t="s">
        <v>382</v>
      </c>
      <c r="N71" s="45" t="s">
        <v>463</v>
      </c>
      <c r="O71" s="45" t="s">
        <v>463</v>
      </c>
      <c r="P71" s="45" t="s">
        <v>464</v>
      </c>
      <c r="Q71" s="45" t="s">
        <v>463</v>
      </c>
      <c r="S71" t="s">
        <v>481</v>
      </c>
      <c r="T71" s="8">
        <f>100*(COUNTIF(M70:Q74,"s"))/25</f>
        <v>64</v>
      </c>
      <c r="W71" s="46">
        <v>-1</v>
      </c>
      <c r="X71" s="44">
        <v>26</v>
      </c>
      <c r="Y71" s="44">
        <v>40</v>
      </c>
      <c r="Z71" s="44">
        <v>26</v>
      </c>
      <c r="AA71" s="44">
        <v>26</v>
      </c>
      <c r="AB71" s="44">
        <v>30</v>
      </c>
      <c r="AC71" s="50"/>
      <c r="AD71" t="s">
        <v>481</v>
      </c>
      <c r="AE71" s="8">
        <f>100*(COUNTIF(X70:AB74,"s"))/25</f>
        <v>0</v>
      </c>
      <c r="AG71" s="48">
        <v>2</v>
      </c>
      <c r="AH71" s="45" t="s">
        <v>463</v>
      </c>
      <c r="AI71" s="45" t="s">
        <v>462</v>
      </c>
      <c r="AJ71" s="45" t="s">
        <v>463</v>
      </c>
      <c r="AK71" s="45" t="s">
        <v>463</v>
      </c>
      <c r="AL71" s="45" t="s">
        <v>462</v>
      </c>
      <c r="AN71" t="s">
        <v>481</v>
      </c>
      <c r="AO71" s="8">
        <f>100*(COUNTIF(AH70:AL74,"s"))/25</f>
        <v>60</v>
      </c>
    </row>
    <row r="72" spans="2:41" ht="12.75">
      <c r="B72" s="46">
        <v>0</v>
      </c>
      <c r="C72" s="44">
        <v>40</v>
      </c>
      <c r="D72" s="44">
        <v>27</v>
      </c>
      <c r="E72" s="44">
        <v>38</v>
      </c>
      <c r="F72" s="44">
        <v>44</v>
      </c>
      <c r="G72" s="44">
        <v>23</v>
      </c>
      <c r="H72" s="50"/>
      <c r="I72" s="50"/>
      <c r="L72" s="48">
        <v>3</v>
      </c>
      <c r="M72" s="45" t="s">
        <v>382</v>
      </c>
      <c r="N72" s="45" t="s">
        <v>463</v>
      </c>
      <c r="O72" s="45" t="s">
        <v>464</v>
      </c>
      <c r="P72" s="45" t="s">
        <v>464</v>
      </c>
      <c r="Q72" s="45" t="s">
        <v>463</v>
      </c>
      <c r="S72" t="s">
        <v>482</v>
      </c>
      <c r="T72" s="8">
        <f>100*(COUNTIF(M70:Q74,"g"))/25</f>
        <v>8</v>
      </c>
      <c r="W72" s="46">
        <v>0</v>
      </c>
      <c r="X72" s="44">
        <v>26</v>
      </c>
      <c r="Y72" s="44">
        <v>33</v>
      </c>
      <c r="Z72" s="44">
        <v>27</v>
      </c>
      <c r="AA72" s="44">
        <v>25</v>
      </c>
      <c r="AB72" s="44">
        <v>26</v>
      </c>
      <c r="AC72" s="50"/>
      <c r="AD72" s="50"/>
      <c r="AG72" s="48">
        <v>3</v>
      </c>
      <c r="AH72" s="45" t="s">
        <v>462</v>
      </c>
      <c r="AI72" s="45" t="s">
        <v>462</v>
      </c>
      <c r="AJ72" s="45" t="s">
        <v>463</v>
      </c>
      <c r="AK72" s="45" t="s">
        <v>463</v>
      </c>
      <c r="AL72" s="45" t="s">
        <v>463</v>
      </c>
      <c r="AN72" t="s">
        <v>482</v>
      </c>
      <c r="AO72" s="8">
        <f>100*(COUNTIF(AH70:AL74,"g"))/25</f>
        <v>0</v>
      </c>
    </row>
    <row r="73" spans="2:41" ht="12.75">
      <c r="B73" s="46">
        <v>1</v>
      </c>
      <c r="C73" s="44">
        <v>27</v>
      </c>
      <c r="D73" s="44">
        <v>25</v>
      </c>
      <c r="E73" s="44">
        <v>45</v>
      </c>
      <c r="F73" s="44">
        <v>34</v>
      </c>
      <c r="G73" s="44">
        <v>12</v>
      </c>
      <c r="H73" s="50"/>
      <c r="I73" s="50"/>
      <c r="L73" s="48">
        <v>4</v>
      </c>
      <c r="M73" s="45" t="s">
        <v>463</v>
      </c>
      <c r="N73" s="45" t="s">
        <v>463</v>
      </c>
      <c r="O73" s="45" t="s">
        <v>463</v>
      </c>
      <c r="P73" s="45" t="s">
        <v>463</v>
      </c>
      <c r="Q73" s="45" t="s">
        <v>463</v>
      </c>
      <c r="S73" t="s">
        <v>483</v>
      </c>
      <c r="T73" s="8">
        <f>100*(COUNTIF(M70:Q74,"p"))/25</f>
        <v>28</v>
      </c>
      <c r="W73" s="46">
        <v>1</v>
      </c>
      <c r="X73" s="44">
        <v>31</v>
      </c>
      <c r="Y73" s="44">
        <v>32</v>
      </c>
      <c r="Z73" s="44">
        <v>33</v>
      </c>
      <c r="AA73" s="44">
        <v>29</v>
      </c>
      <c r="AB73" s="44">
        <v>34</v>
      </c>
      <c r="AC73" s="50"/>
      <c r="AD73" s="50"/>
      <c r="AG73" s="48">
        <v>4</v>
      </c>
      <c r="AH73" s="45" t="s">
        <v>462</v>
      </c>
      <c r="AI73" s="45" t="s">
        <v>463</v>
      </c>
      <c r="AJ73" s="45" t="s">
        <v>463</v>
      </c>
      <c r="AK73" s="45" t="s">
        <v>463</v>
      </c>
      <c r="AL73" s="45" t="s">
        <v>463</v>
      </c>
      <c r="AN73" t="s">
        <v>483</v>
      </c>
      <c r="AO73" s="8">
        <f>100*(COUNTIF(AH70:AL74,"p"))/25</f>
        <v>0</v>
      </c>
    </row>
    <row r="74" spans="2:41" ht="12.75">
      <c r="B74" s="46">
        <v>2</v>
      </c>
      <c r="C74" s="44">
        <v>43</v>
      </c>
      <c r="D74" s="44">
        <v>21</v>
      </c>
      <c r="E74" s="44">
        <v>31</v>
      </c>
      <c r="F74" s="44">
        <v>29</v>
      </c>
      <c r="G74" s="44">
        <v>5</v>
      </c>
      <c r="H74" s="50"/>
      <c r="I74" s="50"/>
      <c r="L74" s="48">
        <v>5</v>
      </c>
      <c r="M74" s="45" t="s">
        <v>464</v>
      </c>
      <c r="N74" s="45" t="s">
        <v>463</v>
      </c>
      <c r="O74" s="45" t="s">
        <v>463</v>
      </c>
      <c r="P74" s="45" t="s">
        <v>464</v>
      </c>
      <c r="Q74" s="45" t="s">
        <v>463</v>
      </c>
      <c r="S74" t="s">
        <v>484</v>
      </c>
      <c r="T74" s="8">
        <f>100*(COUNTIF(M70:Q74,"c"))/25</f>
        <v>0</v>
      </c>
      <c r="W74" s="46">
        <v>2</v>
      </c>
      <c r="X74" s="44">
        <v>50</v>
      </c>
      <c r="Y74" s="44">
        <v>35</v>
      </c>
      <c r="Z74" s="44">
        <v>34</v>
      </c>
      <c r="AA74" s="44">
        <v>30</v>
      </c>
      <c r="AB74" s="44">
        <v>34</v>
      </c>
      <c r="AC74" s="50"/>
      <c r="AD74" s="50"/>
      <c r="AG74" s="48">
        <v>5</v>
      </c>
      <c r="AH74" s="45" t="s">
        <v>463</v>
      </c>
      <c r="AI74" s="45" t="s">
        <v>462</v>
      </c>
      <c r="AJ74" s="45" t="s">
        <v>463</v>
      </c>
      <c r="AK74" s="45" t="s">
        <v>463</v>
      </c>
      <c r="AL74" s="45" t="s">
        <v>463</v>
      </c>
      <c r="AN74" t="s">
        <v>484</v>
      </c>
      <c r="AO74" s="8">
        <f>100*(COUNTIF(AH70:AL74,"c"))/25</f>
        <v>0</v>
      </c>
    </row>
    <row r="75" ht="12.75">
      <c r="AK75" s="52"/>
    </row>
    <row r="76" spans="1:41" ht="12.75">
      <c r="A76" s="3" t="s">
        <v>475</v>
      </c>
      <c r="B76" s="11"/>
      <c r="V76" s="3" t="s">
        <v>475</v>
      </c>
      <c r="W76" s="4"/>
      <c r="X76" s="4"/>
      <c r="Y76" s="4"/>
      <c r="Z76" s="4"/>
      <c r="AA76" s="4"/>
      <c r="AB76" s="4"/>
      <c r="AC76" s="4"/>
      <c r="AD76" s="4"/>
      <c r="AE76" s="4"/>
      <c r="AO76" s="8"/>
    </row>
    <row r="77" spans="2:41" ht="12.75">
      <c r="B77" s="105"/>
      <c r="C77" s="105"/>
      <c r="D77" s="105"/>
      <c r="E77" s="105"/>
      <c r="F77" s="105"/>
      <c r="G77" s="105"/>
      <c r="H77" s="49"/>
      <c r="I77" s="49"/>
      <c r="J77" s="3"/>
      <c r="K77" s="3"/>
      <c r="L77" s="106" t="s">
        <v>467</v>
      </c>
      <c r="M77" s="106"/>
      <c r="N77" s="106"/>
      <c r="O77" s="106"/>
      <c r="P77" s="106"/>
      <c r="Q77" s="106"/>
      <c r="W77" s="106" t="s">
        <v>466</v>
      </c>
      <c r="X77" s="106"/>
      <c r="Y77" s="106"/>
      <c r="Z77" s="106"/>
      <c r="AA77" s="106"/>
      <c r="AB77" s="106"/>
      <c r="AC77" s="49"/>
      <c r="AD77" s="49"/>
      <c r="AE77" s="49"/>
      <c r="AF77" s="3"/>
      <c r="AG77" s="106" t="s">
        <v>467</v>
      </c>
      <c r="AH77" s="106"/>
      <c r="AI77" s="106"/>
      <c r="AJ77" s="106"/>
      <c r="AK77" s="106"/>
      <c r="AL77" s="106"/>
      <c r="AO77" s="8"/>
    </row>
    <row r="78" spans="1:41" ht="12.75">
      <c r="A78" t="s">
        <v>465</v>
      </c>
      <c r="B78" s="49"/>
      <c r="C78" s="49"/>
      <c r="D78" s="49"/>
      <c r="E78" s="49"/>
      <c r="F78" s="49"/>
      <c r="G78" s="49"/>
      <c r="H78" s="49"/>
      <c r="I78" s="49"/>
      <c r="L78" s="3"/>
      <c r="M78" s="3">
        <v>1</v>
      </c>
      <c r="N78" s="3">
        <v>2</v>
      </c>
      <c r="O78" s="3">
        <v>3</v>
      </c>
      <c r="P78" s="3">
        <v>4</v>
      </c>
      <c r="Q78" s="3">
        <v>5</v>
      </c>
      <c r="T78" s="8" t="s">
        <v>238</v>
      </c>
      <c r="V78" t="s">
        <v>465</v>
      </c>
      <c r="W78" s="11" t="s">
        <v>456</v>
      </c>
      <c r="X78" s="47" t="s">
        <v>457</v>
      </c>
      <c r="Y78" s="47" t="s">
        <v>458</v>
      </c>
      <c r="Z78" s="47" t="s">
        <v>459</v>
      </c>
      <c r="AA78" s="47" t="s">
        <v>460</v>
      </c>
      <c r="AB78" s="47" t="s">
        <v>461</v>
      </c>
      <c r="AC78" s="49"/>
      <c r="AE78" s="8" t="s">
        <v>238</v>
      </c>
      <c r="AG78" s="3"/>
      <c r="AH78" s="3">
        <v>1</v>
      </c>
      <c r="AI78" s="3">
        <v>2</v>
      </c>
      <c r="AJ78" s="3">
        <v>3</v>
      </c>
      <c r="AK78" s="3">
        <v>4</v>
      </c>
      <c r="AL78" s="3">
        <v>5</v>
      </c>
      <c r="AO78" s="8" t="s">
        <v>238</v>
      </c>
    </row>
    <row r="79" spans="2:41" ht="12.75">
      <c r="B79" s="49"/>
      <c r="C79" s="50">
        <f>MAX(C42:G74)</f>
        <v>84</v>
      </c>
      <c r="D79" s="50"/>
      <c r="E79" s="50"/>
      <c r="F79" s="50"/>
      <c r="G79" s="50"/>
      <c r="H79" s="50"/>
      <c r="I79" s="50"/>
      <c r="L79" s="48">
        <v>1</v>
      </c>
      <c r="M79" s="45" t="s">
        <v>463</v>
      </c>
      <c r="N79" s="45" t="s">
        <v>463</v>
      </c>
      <c r="O79" s="45" t="s">
        <v>382</v>
      </c>
      <c r="P79" s="45" t="s">
        <v>382</v>
      </c>
      <c r="Q79" s="45" t="s">
        <v>382</v>
      </c>
      <c r="S79" t="s">
        <v>480</v>
      </c>
      <c r="T79" s="8">
        <f>100*COUNTIF(M79:Q83,"f")/25</f>
        <v>4</v>
      </c>
      <c r="W79" s="46">
        <v>-2</v>
      </c>
      <c r="X79" s="44">
        <v>10</v>
      </c>
      <c r="Y79" s="44">
        <v>5</v>
      </c>
      <c r="Z79" s="44">
        <v>5</v>
      </c>
      <c r="AA79" s="44">
        <v>4</v>
      </c>
      <c r="AB79" s="44">
        <v>3</v>
      </c>
      <c r="AC79" s="50"/>
      <c r="AD79" t="s">
        <v>480</v>
      </c>
      <c r="AE79" s="8">
        <f>100*COUNTIF(X79:AB83,"f")/25</f>
        <v>0</v>
      </c>
      <c r="AG79" s="48">
        <v>1</v>
      </c>
      <c r="AH79" s="45" t="s">
        <v>463</v>
      </c>
      <c r="AI79" s="45" t="s">
        <v>463</v>
      </c>
      <c r="AJ79" s="45" t="s">
        <v>463</v>
      </c>
      <c r="AK79" s="45" t="s">
        <v>463</v>
      </c>
      <c r="AL79" s="45" t="s">
        <v>463</v>
      </c>
      <c r="AN79" t="s">
        <v>480</v>
      </c>
      <c r="AO79" s="8">
        <f>100*COUNTIF(AH79:AL83,"f")/25</f>
        <v>0</v>
      </c>
    </row>
    <row r="80" spans="2:41" ht="12.75">
      <c r="B80" s="49"/>
      <c r="C80" s="50"/>
      <c r="D80" s="50"/>
      <c r="E80" s="50"/>
      <c r="F80" s="50"/>
      <c r="G80" s="50"/>
      <c r="H80" s="50"/>
      <c r="I80" s="50"/>
      <c r="L80" s="48">
        <v>2</v>
      </c>
      <c r="M80" s="45" t="s">
        <v>382</v>
      </c>
      <c r="N80" s="45" t="s">
        <v>382</v>
      </c>
      <c r="O80" s="45" t="s">
        <v>382</v>
      </c>
      <c r="P80" s="45" t="s">
        <v>463</v>
      </c>
      <c r="Q80" s="45" t="s">
        <v>463</v>
      </c>
      <c r="S80" t="s">
        <v>481</v>
      </c>
      <c r="T80" s="8">
        <f>100*(COUNTIF(M79:Q83,"s"))/25</f>
        <v>24</v>
      </c>
      <c r="W80" s="46">
        <v>-1</v>
      </c>
      <c r="X80" s="44">
        <v>8</v>
      </c>
      <c r="Y80" s="44">
        <v>7</v>
      </c>
      <c r="Z80" s="44">
        <v>6</v>
      </c>
      <c r="AA80" s="44" t="s">
        <v>463</v>
      </c>
      <c r="AB80" s="44">
        <v>3</v>
      </c>
      <c r="AC80" s="50"/>
      <c r="AD80" t="s">
        <v>481</v>
      </c>
      <c r="AE80" s="8">
        <f>100*(COUNTIF(X79:AB83,"s"))/25</f>
        <v>12</v>
      </c>
      <c r="AG80" s="48">
        <v>2</v>
      </c>
      <c r="AH80" s="45" t="s">
        <v>463</v>
      </c>
      <c r="AI80" s="45" t="s">
        <v>463</v>
      </c>
      <c r="AJ80" s="45" t="s">
        <v>382</v>
      </c>
      <c r="AK80" s="45" t="s">
        <v>463</v>
      </c>
      <c r="AL80" s="45" t="s">
        <v>382</v>
      </c>
      <c r="AN80" t="s">
        <v>481</v>
      </c>
      <c r="AO80" s="8">
        <f>100*(COUNTIF(AH79:AL83,"s"))/25</f>
        <v>68</v>
      </c>
    </row>
    <row r="81" spans="2:41" ht="12.75">
      <c r="B81" s="49"/>
      <c r="C81" s="50"/>
      <c r="D81" s="50"/>
      <c r="E81" s="50"/>
      <c r="F81" s="50"/>
      <c r="G81" s="50"/>
      <c r="H81" s="50"/>
      <c r="I81" s="50"/>
      <c r="L81" s="48">
        <v>3</v>
      </c>
      <c r="M81" s="45" t="s">
        <v>382</v>
      </c>
      <c r="N81" s="45" t="s">
        <v>464</v>
      </c>
      <c r="O81" s="45" t="s">
        <v>382</v>
      </c>
      <c r="P81" s="45" t="s">
        <v>382</v>
      </c>
      <c r="Q81" s="45" t="s">
        <v>382</v>
      </c>
      <c r="S81" t="s">
        <v>482</v>
      </c>
      <c r="T81" s="8">
        <f>100*(COUNTIF(M79:Q83,"g"))/25</f>
        <v>64</v>
      </c>
      <c r="W81" s="46">
        <v>0</v>
      </c>
      <c r="X81" s="44">
        <v>7</v>
      </c>
      <c r="Y81" s="44">
        <v>8</v>
      </c>
      <c r="Z81" s="44">
        <v>5</v>
      </c>
      <c r="AA81" s="44" t="s">
        <v>463</v>
      </c>
      <c r="AB81" s="44" t="s">
        <v>463</v>
      </c>
      <c r="AC81" s="50"/>
      <c r="AD81" s="50"/>
      <c r="AG81" s="48">
        <v>3</v>
      </c>
      <c r="AH81" s="45" t="s">
        <v>463</v>
      </c>
      <c r="AI81" s="45" t="s">
        <v>463</v>
      </c>
      <c r="AJ81" s="45" t="s">
        <v>463</v>
      </c>
      <c r="AK81" s="45" t="s">
        <v>463</v>
      </c>
      <c r="AL81" s="45" t="s">
        <v>463</v>
      </c>
      <c r="AN81" t="s">
        <v>482</v>
      </c>
      <c r="AO81" s="8">
        <f>100*(COUNTIF(AH79:AL83,"g"))/25</f>
        <v>32</v>
      </c>
    </row>
    <row r="82" spans="2:41" ht="12.75">
      <c r="B82" s="49"/>
      <c r="C82" s="50"/>
      <c r="D82" s="50"/>
      <c r="E82" s="50"/>
      <c r="F82" s="50"/>
      <c r="G82" s="50"/>
      <c r="H82" s="50"/>
      <c r="I82" s="50"/>
      <c r="L82" s="48">
        <v>4</v>
      </c>
      <c r="M82" s="45" t="s">
        <v>464</v>
      </c>
      <c r="N82" s="45" t="s">
        <v>382</v>
      </c>
      <c r="O82" s="45" t="s">
        <v>462</v>
      </c>
      <c r="P82" s="45" t="s">
        <v>463</v>
      </c>
      <c r="Q82" s="45" t="s">
        <v>463</v>
      </c>
      <c r="S82" t="s">
        <v>483</v>
      </c>
      <c r="T82" s="8">
        <f>100*(COUNTIF(M79:Q83,"p"))/25</f>
        <v>8</v>
      </c>
      <c r="W82" s="46">
        <v>1</v>
      </c>
      <c r="X82" s="44">
        <v>4</v>
      </c>
      <c r="Y82" s="44">
        <v>8</v>
      </c>
      <c r="Z82" s="44">
        <v>7</v>
      </c>
      <c r="AA82" s="44">
        <v>3</v>
      </c>
      <c r="AB82" s="44">
        <v>4</v>
      </c>
      <c r="AC82" s="50"/>
      <c r="AD82" s="50"/>
      <c r="AG82" s="48">
        <v>4</v>
      </c>
      <c r="AH82" s="45" t="s">
        <v>463</v>
      </c>
      <c r="AI82" s="45" t="s">
        <v>382</v>
      </c>
      <c r="AJ82" s="45" t="s">
        <v>382</v>
      </c>
      <c r="AK82" s="45" t="s">
        <v>463</v>
      </c>
      <c r="AL82" s="45" t="s">
        <v>463</v>
      </c>
      <c r="AN82" t="s">
        <v>483</v>
      </c>
      <c r="AO82" s="8">
        <f>100*(COUNTIF(AH79:AL83,"p"))/25</f>
        <v>0</v>
      </c>
    </row>
    <row r="83" spans="2:41" ht="12.75">
      <c r="B83" s="49"/>
      <c r="C83" s="50"/>
      <c r="D83" s="50"/>
      <c r="E83" s="50"/>
      <c r="F83" s="50"/>
      <c r="G83" s="50"/>
      <c r="H83" s="50"/>
      <c r="I83" s="50"/>
      <c r="L83" s="48">
        <v>5</v>
      </c>
      <c r="M83" s="45" t="s">
        <v>382</v>
      </c>
      <c r="N83" s="45" t="s">
        <v>382</v>
      </c>
      <c r="O83" s="45" t="s">
        <v>382</v>
      </c>
      <c r="P83" s="45" t="s">
        <v>382</v>
      </c>
      <c r="Q83" s="45" t="s">
        <v>382</v>
      </c>
      <c r="S83" t="s">
        <v>484</v>
      </c>
      <c r="T83" s="8">
        <f>100*(COUNTIF(M79:Q83,"c"))/25</f>
        <v>0</v>
      </c>
      <c r="W83" s="46">
        <v>2</v>
      </c>
      <c r="X83" s="44">
        <v>6</v>
      </c>
      <c r="Y83" s="44">
        <v>18</v>
      </c>
      <c r="Z83" s="44">
        <v>21</v>
      </c>
      <c r="AA83" s="44">
        <v>5</v>
      </c>
      <c r="AB83" s="44">
        <v>4</v>
      </c>
      <c r="AC83" s="50"/>
      <c r="AD83" s="50"/>
      <c r="AG83" s="48">
        <v>5</v>
      </c>
      <c r="AH83" s="45" t="s">
        <v>382</v>
      </c>
      <c r="AI83" s="45" t="s">
        <v>382</v>
      </c>
      <c r="AJ83" s="45" t="s">
        <v>382</v>
      </c>
      <c r="AK83" s="45" t="s">
        <v>463</v>
      </c>
      <c r="AL83" s="45" t="s">
        <v>382</v>
      </c>
      <c r="AN83" t="s">
        <v>484</v>
      </c>
      <c r="AO83" s="8">
        <f>100*(COUNTIF(AH79:AL83,"c"))/25</f>
        <v>0</v>
      </c>
    </row>
    <row r="84" spans="2:41" ht="12.75">
      <c r="B84" s="50"/>
      <c r="C84" s="50"/>
      <c r="D84" s="50"/>
      <c r="E84" s="50"/>
      <c r="F84" s="50"/>
      <c r="G84" s="50"/>
      <c r="H84" s="50"/>
      <c r="I84" s="50"/>
      <c r="W84" s="4"/>
      <c r="X84" s="4"/>
      <c r="Y84" s="4"/>
      <c r="Z84" s="4"/>
      <c r="AA84" s="4"/>
      <c r="AB84" s="4"/>
      <c r="AC84" s="4"/>
      <c r="AD84" s="4"/>
      <c r="AO84" s="8"/>
    </row>
    <row r="85" spans="1:41" ht="12.75">
      <c r="A85" t="s">
        <v>468</v>
      </c>
      <c r="B85" s="49"/>
      <c r="C85" s="49"/>
      <c r="D85" s="49"/>
      <c r="E85" s="49"/>
      <c r="F85" s="49"/>
      <c r="G85" s="49"/>
      <c r="H85" s="49"/>
      <c r="I85" s="49"/>
      <c r="L85" s="3"/>
      <c r="M85" s="3">
        <v>1</v>
      </c>
      <c r="N85" s="3">
        <v>2</v>
      </c>
      <c r="O85" s="3">
        <v>3</v>
      </c>
      <c r="P85" s="3">
        <v>4</v>
      </c>
      <c r="Q85" s="3">
        <v>5</v>
      </c>
      <c r="V85" t="s">
        <v>468</v>
      </c>
      <c r="W85" s="11" t="s">
        <v>456</v>
      </c>
      <c r="X85" s="47" t="s">
        <v>457</v>
      </c>
      <c r="Y85" s="47" t="s">
        <v>458</v>
      </c>
      <c r="Z85" s="47" t="s">
        <v>459</v>
      </c>
      <c r="AA85" s="47" t="s">
        <v>460</v>
      </c>
      <c r="AB85" s="47" t="s">
        <v>461</v>
      </c>
      <c r="AC85" s="49"/>
      <c r="AE85" s="8"/>
      <c r="AG85" s="3"/>
      <c r="AH85" s="3">
        <v>1</v>
      </c>
      <c r="AI85" s="3">
        <v>2</v>
      </c>
      <c r="AJ85" s="3">
        <v>3</v>
      </c>
      <c r="AK85" s="3">
        <v>4</v>
      </c>
      <c r="AL85" s="3">
        <v>5</v>
      </c>
      <c r="AO85" s="8"/>
    </row>
    <row r="86" spans="2:41" ht="12.75">
      <c r="B86" s="49"/>
      <c r="C86" s="50"/>
      <c r="D86" s="50"/>
      <c r="E86" s="50"/>
      <c r="F86" s="50"/>
      <c r="G86" s="50"/>
      <c r="H86" s="50"/>
      <c r="I86" s="50"/>
      <c r="L86" s="48">
        <v>1</v>
      </c>
      <c r="M86" s="45" t="s">
        <v>382</v>
      </c>
      <c r="N86" s="45" t="s">
        <v>382</v>
      </c>
      <c r="O86" s="45" t="s">
        <v>382</v>
      </c>
      <c r="P86" s="45" t="s">
        <v>382</v>
      </c>
      <c r="Q86" s="45" t="s">
        <v>382</v>
      </c>
      <c r="S86" t="s">
        <v>480</v>
      </c>
      <c r="T86" s="8">
        <f>100*COUNTIF(M86:Q90,"f")/25</f>
        <v>0</v>
      </c>
      <c r="W86" s="46">
        <v>-2</v>
      </c>
      <c r="X86" s="44">
        <v>5</v>
      </c>
      <c r="Y86" s="44">
        <v>6</v>
      </c>
      <c r="Z86" s="44">
        <v>8</v>
      </c>
      <c r="AA86" s="44" t="s">
        <v>463</v>
      </c>
      <c r="AB86" s="44" t="s">
        <v>462</v>
      </c>
      <c r="AC86" s="50"/>
      <c r="AD86" t="s">
        <v>480</v>
      </c>
      <c r="AE86" s="8">
        <f>100*COUNTIF(X86:AB90,"f")/25</f>
        <v>12</v>
      </c>
      <c r="AG86" s="48">
        <v>1</v>
      </c>
      <c r="AH86" s="45" t="s">
        <v>382</v>
      </c>
      <c r="AI86" s="45" t="s">
        <v>382</v>
      </c>
      <c r="AJ86" s="45" t="s">
        <v>382</v>
      </c>
      <c r="AK86" s="45" t="s">
        <v>382</v>
      </c>
      <c r="AL86" s="45" t="s">
        <v>382</v>
      </c>
      <c r="AN86" t="s">
        <v>480</v>
      </c>
      <c r="AO86" s="8">
        <f>100*COUNTIF(AH86:AL90,"f")/25</f>
        <v>0</v>
      </c>
    </row>
    <row r="87" spans="2:41" ht="12.75">
      <c r="B87" s="49"/>
      <c r="C87" s="50"/>
      <c r="D87" s="50"/>
      <c r="E87" s="50"/>
      <c r="F87" s="50"/>
      <c r="G87" s="50"/>
      <c r="H87" s="50"/>
      <c r="I87" s="50"/>
      <c r="L87" s="48">
        <v>2</v>
      </c>
      <c r="M87" s="45" t="s">
        <v>382</v>
      </c>
      <c r="N87" s="45" t="s">
        <v>382</v>
      </c>
      <c r="O87" s="45" t="s">
        <v>382</v>
      </c>
      <c r="P87" s="45" t="s">
        <v>382</v>
      </c>
      <c r="Q87" s="45" t="s">
        <v>382</v>
      </c>
      <c r="S87" t="s">
        <v>481</v>
      </c>
      <c r="T87" s="8">
        <f>100*(COUNTIF(M86:Q90,"s"))/25</f>
        <v>0</v>
      </c>
      <c r="W87" s="46">
        <v>-1</v>
      </c>
      <c r="X87" s="44">
        <v>9</v>
      </c>
      <c r="Y87" s="44">
        <v>14</v>
      </c>
      <c r="Z87" s="44" t="s">
        <v>462</v>
      </c>
      <c r="AA87" s="44">
        <v>60</v>
      </c>
      <c r="AB87" s="44" t="s">
        <v>462</v>
      </c>
      <c r="AC87" s="50"/>
      <c r="AD87" t="s">
        <v>481</v>
      </c>
      <c r="AE87" s="8">
        <f>100*(COUNTIF(X86:AB90,"s"))/25</f>
        <v>16</v>
      </c>
      <c r="AG87" s="48">
        <v>2</v>
      </c>
      <c r="AH87" s="45" t="s">
        <v>382</v>
      </c>
      <c r="AI87" s="45" t="s">
        <v>464</v>
      </c>
      <c r="AJ87" s="45" t="s">
        <v>382</v>
      </c>
      <c r="AK87" s="45" t="s">
        <v>464</v>
      </c>
      <c r="AL87" s="45" t="s">
        <v>382</v>
      </c>
      <c r="AN87" t="s">
        <v>481</v>
      </c>
      <c r="AO87" s="8">
        <f>100*(COUNTIF(AH86:AL90,"s"))/25</f>
        <v>0</v>
      </c>
    </row>
    <row r="88" spans="2:41" ht="12.75">
      <c r="B88" s="49"/>
      <c r="C88" s="50"/>
      <c r="D88" s="50"/>
      <c r="E88" s="50"/>
      <c r="F88" s="50"/>
      <c r="G88" s="50"/>
      <c r="H88" s="50"/>
      <c r="I88" s="50"/>
      <c r="L88" s="48">
        <v>3</v>
      </c>
      <c r="M88" s="45" t="s">
        <v>382</v>
      </c>
      <c r="N88" s="45" t="s">
        <v>382</v>
      </c>
      <c r="O88" s="45" t="s">
        <v>382</v>
      </c>
      <c r="P88" s="45" t="s">
        <v>382</v>
      </c>
      <c r="Q88" s="45" t="s">
        <v>382</v>
      </c>
      <c r="S88" t="s">
        <v>482</v>
      </c>
      <c r="T88" s="8">
        <f>100*(COUNTIF(M86:Q90,"g"))/25</f>
        <v>100</v>
      </c>
      <c r="W88" s="46">
        <v>0</v>
      </c>
      <c r="X88" s="44">
        <v>4</v>
      </c>
      <c r="Y88" s="44">
        <v>33</v>
      </c>
      <c r="Z88" s="44">
        <v>31</v>
      </c>
      <c r="AA88" s="44">
        <v>33</v>
      </c>
      <c r="AB88" s="44" t="s">
        <v>463</v>
      </c>
      <c r="AC88" s="50"/>
      <c r="AD88" s="50"/>
      <c r="AG88" s="48">
        <v>3</v>
      </c>
      <c r="AH88" s="45" t="s">
        <v>464</v>
      </c>
      <c r="AI88" s="45" t="s">
        <v>382</v>
      </c>
      <c r="AJ88" s="45" t="s">
        <v>382</v>
      </c>
      <c r="AK88" s="45" t="s">
        <v>382</v>
      </c>
      <c r="AL88" s="45" t="s">
        <v>382</v>
      </c>
      <c r="AN88" t="s">
        <v>482</v>
      </c>
      <c r="AO88" s="8">
        <f>100*(COUNTIF(AH86:AL90,"g"))/25</f>
        <v>76</v>
      </c>
    </row>
    <row r="89" spans="2:41" ht="12.75">
      <c r="B89" s="49"/>
      <c r="C89" s="50"/>
      <c r="D89" s="50"/>
      <c r="E89" s="50"/>
      <c r="F89" s="50"/>
      <c r="G89" s="50"/>
      <c r="H89" s="50"/>
      <c r="I89" s="50"/>
      <c r="L89" s="48">
        <v>4</v>
      </c>
      <c r="M89" s="45" t="s">
        <v>382</v>
      </c>
      <c r="N89" s="45" t="s">
        <v>382</v>
      </c>
      <c r="O89" s="45" t="s">
        <v>382</v>
      </c>
      <c r="P89" s="45" t="s">
        <v>382</v>
      </c>
      <c r="Q89" s="45" t="s">
        <v>382</v>
      </c>
      <c r="S89" t="s">
        <v>483</v>
      </c>
      <c r="T89" s="8">
        <f>100*(COUNTIF(M86:Q90,"p"))/25</f>
        <v>0</v>
      </c>
      <c r="W89" s="46">
        <v>1</v>
      </c>
      <c r="X89" s="44">
        <v>7</v>
      </c>
      <c r="Y89" s="44">
        <v>7</v>
      </c>
      <c r="Z89" s="44">
        <v>6</v>
      </c>
      <c r="AA89" s="44">
        <v>8</v>
      </c>
      <c r="AB89" s="44" t="s">
        <v>463</v>
      </c>
      <c r="AC89" s="50"/>
      <c r="AD89" s="50"/>
      <c r="AG89" s="48">
        <v>4</v>
      </c>
      <c r="AH89" s="45" t="s">
        <v>382</v>
      </c>
      <c r="AI89" s="45" t="s">
        <v>382</v>
      </c>
      <c r="AJ89" s="45" t="s">
        <v>382</v>
      </c>
      <c r="AK89" s="45" t="s">
        <v>464</v>
      </c>
      <c r="AL89" s="45" t="s">
        <v>382</v>
      </c>
      <c r="AN89" t="s">
        <v>483</v>
      </c>
      <c r="AO89" s="8">
        <f>100*(COUNTIF(AH86:AL90,"p"))/25</f>
        <v>24</v>
      </c>
    </row>
    <row r="90" spans="2:41" ht="12.75">
      <c r="B90" s="49"/>
      <c r="C90" s="50"/>
      <c r="D90" s="50"/>
      <c r="E90" s="50"/>
      <c r="F90" s="50"/>
      <c r="G90" s="50"/>
      <c r="H90" s="50"/>
      <c r="I90" s="50"/>
      <c r="L90" s="48">
        <v>5</v>
      </c>
      <c r="M90" s="45" t="s">
        <v>382</v>
      </c>
      <c r="N90" s="45" t="s">
        <v>382</v>
      </c>
      <c r="O90" s="45" t="s">
        <v>382</v>
      </c>
      <c r="P90" s="45" t="s">
        <v>382</v>
      </c>
      <c r="Q90" s="45" t="s">
        <v>382</v>
      </c>
      <c r="S90" t="s">
        <v>484</v>
      </c>
      <c r="T90" s="8">
        <f>100*(COUNTIF(M86:Q90,"c"))/25</f>
        <v>0</v>
      </c>
      <c r="W90" s="46">
        <v>2</v>
      </c>
      <c r="X90" s="44">
        <v>3</v>
      </c>
      <c r="Y90" s="44">
        <v>10</v>
      </c>
      <c r="Z90" s="44" t="s">
        <v>463</v>
      </c>
      <c r="AA90" s="44">
        <v>11</v>
      </c>
      <c r="AB90" s="44">
        <v>5</v>
      </c>
      <c r="AC90" s="50"/>
      <c r="AD90" s="50"/>
      <c r="AG90" s="48">
        <v>5</v>
      </c>
      <c r="AH90" s="45" t="s">
        <v>382</v>
      </c>
      <c r="AI90" s="45" t="s">
        <v>382</v>
      </c>
      <c r="AJ90" s="45" t="s">
        <v>382</v>
      </c>
      <c r="AK90" s="45" t="s">
        <v>464</v>
      </c>
      <c r="AL90" s="45" t="s">
        <v>464</v>
      </c>
      <c r="AN90" t="s">
        <v>484</v>
      </c>
      <c r="AO90" s="8">
        <f>100*(COUNTIF(AH86:AL90,"c"))/25</f>
        <v>0</v>
      </c>
    </row>
    <row r="91" spans="2:41" ht="12.75">
      <c r="B91" s="50"/>
      <c r="C91" s="50"/>
      <c r="D91" s="50"/>
      <c r="E91" s="50"/>
      <c r="F91" s="50"/>
      <c r="G91" s="50"/>
      <c r="H91" s="50"/>
      <c r="I91" s="50"/>
      <c r="W91" s="4"/>
      <c r="X91" s="4"/>
      <c r="Y91" s="4"/>
      <c r="Z91" s="4"/>
      <c r="AA91" s="4"/>
      <c r="AB91" s="4"/>
      <c r="AC91" s="4"/>
      <c r="AD91" s="4"/>
      <c r="AO91" s="8"/>
    </row>
    <row r="92" spans="1:41" ht="12.75">
      <c r="A92" t="s">
        <v>469</v>
      </c>
      <c r="B92" s="49"/>
      <c r="C92" s="49"/>
      <c r="D92" s="49"/>
      <c r="E92" s="49"/>
      <c r="F92" s="49"/>
      <c r="G92" s="49"/>
      <c r="H92" s="49"/>
      <c r="I92" s="49"/>
      <c r="L92" s="3"/>
      <c r="M92" s="3">
        <v>1</v>
      </c>
      <c r="N92" s="3">
        <v>2</v>
      </c>
      <c r="O92" s="3">
        <v>3</v>
      </c>
      <c r="P92" s="3">
        <v>4</v>
      </c>
      <c r="Q92" s="3">
        <v>5</v>
      </c>
      <c r="V92" t="s">
        <v>469</v>
      </c>
      <c r="W92" s="11" t="s">
        <v>456</v>
      </c>
      <c r="X92" s="47" t="s">
        <v>457</v>
      </c>
      <c r="Y92" s="47" t="s">
        <v>458</v>
      </c>
      <c r="Z92" s="47" t="s">
        <v>459</v>
      </c>
      <c r="AA92" s="47" t="s">
        <v>460</v>
      </c>
      <c r="AB92" s="47" t="s">
        <v>461</v>
      </c>
      <c r="AC92" s="49"/>
      <c r="AE92" s="8"/>
      <c r="AG92" s="3"/>
      <c r="AH92" s="3">
        <v>1</v>
      </c>
      <c r="AI92" s="3">
        <v>2</v>
      </c>
      <c r="AJ92" s="3">
        <v>3</v>
      </c>
      <c r="AK92" s="3">
        <v>4</v>
      </c>
      <c r="AL92" s="3">
        <v>5</v>
      </c>
      <c r="AO92" s="8"/>
    </row>
    <row r="93" spans="2:41" ht="12.75">
      <c r="B93" s="49"/>
      <c r="C93" s="50"/>
      <c r="D93" s="50"/>
      <c r="E93" s="50"/>
      <c r="F93" s="50"/>
      <c r="G93" s="50"/>
      <c r="H93" s="50"/>
      <c r="I93" s="50"/>
      <c r="L93" s="48">
        <v>1</v>
      </c>
      <c r="M93" s="45" t="s">
        <v>382</v>
      </c>
      <c r="N93" s="45" t="s">
        <v>382</v>
      </c>
      <c r="O93" s="45" t="s">
        <v>382</v>
      </c>
      <c r="P93" s="45" t="s">
        <v>464</v>
      </c>
      <c r="Q93" s="45" t="s">
        <v>382</v>
      </c>
      <c r="S93" t="s">
        <v>480</v>
      </c>
      <c r="T93" s="8">
        <f>100*COUNTIF(M93:Q97,"f")/25</f>
        <v>0</v>
      </c>
      <c r="W93" s="46">
        <v>-2</v>
      </c>
      <c r="X93" s="44">
        <v>5</v>
      </c>
      <c r="Y93" s="44">
        <v>7</v>
      </c>
      <c r="Z93" s="44">
        <v>11</v>
      </c>
      <c r="AA93" s="44">
        <v>8</v>
      </c>
      <c r="AB93" s="44">
        <v>4</v>
      </c>
      <c r="AC93" s="50"/>
      <c r="AD93" t="s">
        <v>480</v>
      </c>
      <c r="AE93" s="8">
        <f>100*COUNTIF(X93:AB97,"f")/25</f>
        <v>0</v>
      </c>
      <c r="AG93" s="48">
        <v>1</v>
      </c>
      <c r="AH93" s="45" t="s">
        <v>382</v>
      </c>
      <c r="AI93" s="45" t="s">
        <v>382</v>
      </c>
      <c r="AJ93" s="45" t="s">
        <v>382</v>
      </c>
      <c r="AK93" s="45" t="s">
        <v>382</v>
      </c>
      <c r="AL93" s="45" t="s">
        <v>382</v>
      </c>
      <c r="AN93" t="s">
        <v>480</v>
      </c>
      <c r="AO93" s="8">
        <f>100*COUNTIF(AH93:AL97,"f")/25</f>
        <v>0</v>
      </c>
    </row>
    <row r="94" spans="2:41" ht="12.75">
      <c r="B94" s="49"/>
      <c r="C94" s="50"/>
      <c r="D94" s="50"/>
      <c r="E94" s="50"/>
      <c r="F94" s="50"/>
      <c r="G94" s="50"/>
      <c r="H94" s="50"/>
      <c r="I94" s="50"/>
      <c r="L94" s="48">
        <v>2</v>
      </c>
      <c r="M94" s="45" t="s">
        <v>382</v>
      </c>
      <c r="N94" s="45" t="s">
        <v>382</v>
      </c>
      <c r="O94" s="45" t="s">
        <v>464</v>
      </c>
      <c r="P94" s="45" t="s">
        <v>464</v>
      </c>
      <c r="Q94" s="45" t="s">
        <v>382</v>
      </c>
      <c r="S94" t="s">
        <v>481</v>
      </c>
      <c r="T94" s="8">
        <f>100*(COUNTIF(M93:Q97,"s"))/25</f>
        <v>8</v>
      </c>
      <c r="W94" s="46">
        <v>-1</v>
      </c>
      <c r="X94" s="44">
        <v>4</v>
      </c>
      <c r="Y94" s="44">
        <v>6</v>
      </c>
      <c r="Z94" s="44" t="s">
        <v>463</v>
      </c>
      <c r="AA94" s="44">
        <v>6</v>
      </c>
      <c r="AB94" s="44" t="s">
        <v>463</v>
      </c>
      <c r="AC94" s="50"/>
      <c r="AD94" t="s">
        <v>481</v>
      </c>
      <c r="AE94" s="8">
        <f>100*(COUNTIF(X93:AB97,"s"))/25</f>
        <v>16</v>
      </c>
      <c r="AG94" s="48">
        <v>2</v>
      </c>
      <c r="AH94" s="45" t="s">
        <v>382</v>
      </c>
      <c r="AI94" s="45" t="s">
        <v>382</v>
      </c>
      <c r="AJ94" s="45" t="s">
        <v>382</v>
      </c>
      <c r="AK94" s="45" t="s">
        <v>382</v>
      </c>
      <c r="AL94" s="45" t="s">
        <v>382</v>
      </c>
      <c r="AN94" t="s">
        <v>481</v>
      </c>
      <c r="AO94" s="8">
        <f>100*(COUNTIF(AH93:AL97,"s"))/25</f>
        <v>0</v>
      </c>
    </row>
    <row r="95" spans="2:41" ht="12.75">
      <c r="B95" s="49"/>
      <c r="C95" s="50"/>
      <c r="D95" s="50"/>
      <c r="E95" s="50"/>
      <c r="F95" s="50"/>
      <c r="G95" s="50"/>
      <c r="H95" s="50"/>
      <c r="I95" s="50"/>
      <c r="L95" s="48">
        <v>3</v>
      </c>
      <c r="M95" s="45" t="s">
        <v>382</v>
      </c>
      <c r="N95" s="45" t="s">
        <v>382</v>
      </c>
      <c r="O95" s="45" t="s">
        <v>382</v>
      </c>
      <c r="P95" s="45" t="s">
        <v>382</v>
      </c>
      <c r="Q95" s="45" t="s">
        <v>382</v>
      </c>
      <c r="S95" t="s">
        <v>482</v>
      </c>
      <c r="T95" s="8">
        <f>100*(COUNTIF(M93:Q97,"g"))/25</f>
        <v>80</v>
      </c>
      <c r="W95" s="46">
        <v>0</v>
      </c>
      <c r="X95" s="44">
        <v>7</v>
      </c>
      <c r="Y95" s="44">
        <v>4</v>
      </c>
      <c r="Z95" s="44">
        <v>7</v>
      </c>
      <c r="AA95" s="44">
        <v>18</v>
      </c>
      <c r="AB95" s="44">
        <v>13</v>
      </c>
      <c r="AC95" s="50"/>
      <c r="AD95" s="50"/>
      <c r="AG95" s="48">
        <v>3</v>
      </c>
      <c r="AH95" s="45" t="s">
        <v>382</v>
      </c>
      <c r="AI95" s="45" t="s">
        <v>382</v>
      </c>
      <c r="AJ95" s="45" t="s">
        <v>382</v>
      </c>
      <c r="AK95" s="45" t="s">
        <v>382</v>
      </c>
      <c r="AL95" s="45" t="s">
        <v>382</v>
      </c>
      <c r="AN95" t="s">
        <v>482</v>
      </c>
      <c r="AO95" s="8">
        <f>100*(COUNTIF(AH93:AL97,"g"))/25</f>
        <v>100</v>
      </c>
    </row>
    <row r="96" spans="2:41" ht="12.75">
      <c r="B96" s="49"/>
      <c r="C96" s="50"/>
      <c r="D96" s="50"/>
      <c r="E96" s="50"/>
      <c r="F96" s="50"/>
      <c r="G96" s="50"/>
      <c r="H96" s="50"/>
      <c r="I96" s="50"/>
      <c r="L96" s="48">
        <v>4</v>
      </c>
      <c r="M96" s="45" t="s">
        <v>382</v>
      </c>
      <c r="N96" s="45" t="s">
        <v>382</v>
      </c>
      <c r="O96" s="45" t="s">
        <v>382</v>
      </c>
      <c r="P96" s="45" t="s">
        <v>382</v>
      </c>
      <c r="Q96" s="45" t="s">
        <v>382</v>
      </c>
      <c r="S96" t="s">
        <v>483</v>
      </c>
      <c r="T96" s="8">
        <f>100*(COUNTIF(M93:Q97,"p"))/25</f>
        <v>12</v>
      </c>
      <c r="W96" s="46">
        <v>1</v>
      </c>
      <c r="X96" s="44">
        <v>7</v>
      </c>
      <c r="Y96" s="44">
        <v>8</v>
      </c>
      <c r="Z96" s="44">
        <v>8</v>
      </c>
      <c r="AA96" s="44">
        <v>5</v>
      </c>
      <c r="AB96" s="44">
        <v>7</v>
      </c>
      <c r="AC96" s="50"/>
      <c r="AD96" s="50"/>
      <c r="AG96" s="48">
        <v>4</v>
      </c>
      <c r="AH96" s="45" t="s">
        <v>382</v>
      </c>
      <c r="AI96" s="45" t="s">
        <v>382</v>
      </c>
      <c r="AJ96" s="45" t="s">
        <v>382</v>
      </c>
      <c r="AK96" s="45" t="s">
        <v>382</v>
      </c>
      <c r="AL96" s="45" t="s">
        <v>382</v>
      </c>
      <c r="AN96" t="s">
        <v>483</v>
      </c>
      <c r="AO96" s="8">
        <f>100*(COUNTIF(AH93:AL97,"p"))/25</f>
        <v>0</v>
      </c>
    </row>
    <row r="97" spans="2:41" ht="12.75">
      <c r="B97" s="49"/>
      <c r="C97" s="50"/>
      <c r="D97" s="50"/>
      <c r="E97" s="50"/>
      <c r="F97" s="50"/>
      <c r="G97" s="50"/>
      <c r="H97" s="50"/>
      <c r="I97" s="50"/>
      <c r="L97" s="48">
        <v>5</v>
      </c>
      <c r="M97" s="45" t="s">
        <v>382</v>
      </c>
      <c r="N97" s="45" t="s">
        <v>463</v>
      </c>
      <c r="O97" s="45" t="s">
        <v>463</v>
      </c>
      <c r="P97" s="45" t="s">
        <v>382</v>
      </c>
      <c r="Q97" s="45" t="s">
        <v>382</v>
      </c>
      <c r="S97" t="s">
        <v>484</v>
      </c>
      <c r="T97" s="8">
        <f>100*(COUNTIF(M93:Q97,"c"))/25</f>
        <v>0</v>
      </c>
      <c r="W97" s="46">
        <v>2</v>
      </c>
      <c r="X97" s="44">
        <v>9</v>
      </c>
      <c r="Y97" s="44">
        <v>5</v>
      </c>
      <c r="Z97" s="44" t="s">
        <v>463</v>
      </c>
      <c r="AA97" s="44" t="s">
        <v>463</v>
      </c>
      <c r="AB97" s="44">
        <v>11</v>
      </c>
      <c r="AC97" s="50"/>
      <c r="AD97" s="50"/>
      <c r="AG97" s="48">
        <v>5</v>
      </c>
      <c r="AH97" s="45" t="s">
        <v>382</v>
      </c>
      <c r="AI97" s="45" t="s">
        <v>382</v>
      </c>
      <c r="AJ97" s="45" t="s">
        <v>382</v>
      </c>
      <c r="AK97" s="45" t="s">
        <v>382</v>
      </c>
      <c r="AL97" s="45" t="s">
        <v>382</v>
      </c>
      <c r="AN97" t="s">
        <v>484</v>
      </c>
      <c r="AO97" s="8">
        <f>100*(COUNTIF(AH93:AL97,"c"))/25</f>
        <v>0</v>
      </c>
    </row>
    <row r="98" spans="2:41" ht="12.75">
      <c r="B98" s="50"/>
      <c r="C98" s="50"/>
      <c r="D98" s="50"/>
      <c r="E98" s="50"/>
      <c r="F98" s="50"/>
      <c r="G98" s="50"/>
      <c r="H98" s="50"/>
      <c r="I98" s="50"/>
      <c r="W98" s="4"/>
      <c r="X98" s="4"/>
      <c r="Y98" s="4"/>
      <c r="Z98" s="4"/>
      <c r="AA98" s="4"/>
      <c r="AB98" s="4"/>
      <c r="AC98" s="4"/>
      <c r="AD98" s="4"/>
      <c r="AO98" s="8"/>
    </row>
    <row r="99" spans="1:41" ht="12.75">
      <c r="A99" t="s">
        <v>470</v>
      </c>
      <c r="B99" s="49"/>
      <c r="C99" s="49"/>
      <c r="D99" s="49"/>
      <c r="E99" s="49"/>
      <c r="F99" s="49"/>
      <c r="G99" s="49"/>
      <c r="H99" s="49"/>
      <c r="I99" s="49"/>
      <c r="L99" s="3"/>
      <c r="M99" s="3">
        <v>1</v>
      </c>
      <c r="N99" s="3">
        <v>2</v>
      </c>
      <c r="O99" s="3">
        <v>3</v>
      </c>
      <c r="P99" s="3">
        <v>4</v>
      </c>
      <c r="Q99" s="3">
        <v>5</v>
      </c>
      <c r="V99" t="s">
        <v>470</v>
      </c>
      <c r="W99" s="11" t="s">
        <v>456</v>
      </c>
      <c r="X99" s="47" t="s">
        <v>457</v>
      </c>
      <c r="Y99" s="47" t="s">
        <v>458</v>
      </c>
      <c r="Z99" s="47" t="s">
        <v>459</v>
      </c>
      <c r="AA99" s="47" t="s">
        <v>460</v>
      </c>
      <c r="AB99" s="47" t="s">
        <v>461</v>
      </c>
      <c r="AC99" s="49"/>
      <c r="AE99" s="8"/>
      <c r="AG99" s="3"/>
      <c r="AH99" s="3">
        <v>1</v>
      </c>
      <c r="AI99" s="3">
        <v>2</v>
      </c>
      <c r="AJ99" s="3">
        <v>3</v>
      </c>
      <c r="AK99" s="3">
        <v>4</v>
      </c>
      <c r="AL99" s="3">
        <v>5</v>
      </c>
      <c r="AO99" s="8"/>
    </row>
    <row r="100" spans="2:41" ht="12.75">
      <c r="B100" s="49"/>
      <c r="C100" s="50"/>
      <c r="D100" s="50"/>
      <c r="E100" s="50"/>
      <c r="F100" s="50"/>
      <c r="G100" s="50"/>
      <c r="H100" s="50"/>
      <c r="I100" s="50"/>
      <c r="L100" s="48">
        <v>1</v>
      </c>
      <c r="M100" s="45" t="s">
        <v>463</v>
      </c>
      <c r="N100" s="45" t="s">
        <v>382</v>
      </c>
      <c r="O100" s="45" t="s">
        <v>464</v>
      </c>
      <c r="P100" s="45" t="s">
        <v>464</v>
      </c>
      <c r="Q100" s="45" t="s">
        <v>464</v>
      </c>
      <c r="S100" t="s">
        <v>480</v>
      </c>
      <c r="T100" s="8">
        <f>100*COUNTIF(M100:Q104,"f")/25</f>
        <v>0</v>
      </c>
      <c r="W100" s="46">
        <v>-2</v>
      </c>
      <c r="X100" s="44">
        <v>14</v>
      </c>
      <c r="Y100" s="44">
        <v>8</v>
      </c>
      <c r="Z100" s="44">
        <v>12</v>
      </c>
      <c r="AA100" s="44">
        <v>8</v>
      </c>
      <c r="AB100" s="44">
        <v>9</v>
      </c>
      <c r="AC100" s="50"/>
      <c r="AD100" t="s">
        <v>480</v>
      </c>
      <c r="AE100" s="8">
        <f>100*COUNTIF(X100:AB104,"f")/25</f>
        <v>0</v>
      </c>
      <c r="AG100" s="48">
        <v>1</v>
      </c>
      <c r="AH100" s="45" t="s">
        <v>464</v>
      </c>
      <c r="AI100" s="45" t="s">
        <v>464</v>
      </c>
      <c r="AJ100" s="45" t="s">
        <v>382</v>
      </c>
      <c r="AK100" s="45" t="s">
        <v>464</v>
      </c>
      <c r="AL100" s="45" t="s">
        <v>464</v>
      </c>
      <c r="AN100" t="s">
        <v>480</v>
      </c>
      <c r="AO100" s="8">
        <f>100*COUNTIF(AH100:AL104,"f")/25</f>
        <v>0</v>
      </c>
    </row>
    <row r="101" spans="2:41" ht="12.75">
      <c r="B101" s="49"/>
      <c r="C101" s="50"/>
      <c r="D101" s="50"/>
      <c r="E101" s="50"/>
      <c r="F101" s="50"/>
      <c r="G101" s="50"/>
      <c r="H101" s="50"/>
      <c r="I101" s="50"/>
      <c r="L101" s="48">
        <v>2</v>
      </c>
      <c r="M101" s="45" t="s">
        <v>382</v>
      </c>
      <c r="N101" s="45" t="s">
        <v>464</v>
      </c>
      <c r="O101" s="45" t="s">
        <v>464</v>
      </c>
      <c r="P101" s="45" t="s">
        <v>464</v>
      </c>
      <c r="Q101" s="45" t="s">
        <v>464</v>
      </c>
      <c r="S101" t="s">
        <v>481</v>
      </c>
      <c r="T101" s="8">
        <f>100*(COUNTIF(M100:Q104,"s"))/25</f>
        <v>8</v>
      </c>
      <c r="W101" s="46">
        <v>-1</v>
      </c>
      <c r="X101" s="44">
        <v>53</v>
      </c>
      <c r="Y101" s="44">
        <v>15</v>
      </c>
      <c r="Z101" s="44">
        <v>10</v>
      </c>
      <c r="AA101" s="44" t="s">
        <v>463</v>
      </c>
      <c r="AB101" s="44">
        <v>5</v>
      </c>
      <c r="AC101" s="50"/>
      <c r="AD101" t="s">
        <v>481</v>
      </c>
      <c r="AE101" s="8">
        <f>100*(COUNTIF(X100:AB104,"s"))/25</f>
        <v>4</v>
      </c>
      <c r="AG101" s="48">
        <v>2</v>
      </c>
      <c r="AH101" s="45" t="s">
        <v>464</v>
      </c>
      <c r="AI101" s="45" t="s">
        <v>382</v>
      </c>
      <c r="AJ101" s="45" t="s">
        <v>464</v>
      </c>
      <c r="AK101" s="45" t="s">
        <v>464</v>
      </c>
      <c r="AL101" s="45" t="s">
        <v>382</v>
      </c>
      <c r="AN101" t="s">
        <v>481</v>
      </c>
      <c r="AO101" s="8">
        <f>100*(COUNTIF(AH100:AL104,"s"))/25</f>
        <v>0</v>
      </c>
    </row>
    <row r="102" spans="2:41" ht="12.75">
      <c r="B102" s="49"/>
      <c r="C102" s="50"/>
      <c r="D102" s="50"/>
      <c r="E102" s="50"/>
      <c r="F102" s="50"/>
      <c r="G102" s="50"/>
      <c r="H102" s="50"/>
      <c r="I102" s="50"/>
      <c r="L102" s="48">
        <v>3</v>
      </c>
      <c r="M102" s="45" t="s">
        <v>464</v>
      </c>
      <c r="N102" s="45" t="s">
        <v>464</v>
      </c>
      <c r="O102" s="45" t="s">
        <v>464</v>
      </c>
      <c r="P102" s="45" t="s">
        <v>464</v>
      </c>
      <c r="Q102" s="45" t="s">
        <v>464</v>
      </c>
      <c r="S102" t="s">
        <v>482</v>
      </c>
      <c r="T102" s="8">
        <f>100*(COUNTIF(M100:Q104,"g"))/25</f>
        <v>8</v>
      </c>
      <c r="W102" s="46">
        <v>0</v>
      </c>
      <c r="X102" s="44">
        <v>44</v>
      </c>
      <c r="Y102" s="44">
        <v>20</v>
      </c>
      <c r="Z102" s="44">
        <v>14</v>
      </c>
      <c r="AA102" s="44">
        <v>9</v>
      </c>
      <c r="AB102" s="44">
        <v>27</v>
      </c>
      <c r="AC102" s="50"/>
      <c r="AD102" s="50"/>
      <c r="AG102" s="48">
        <v>3</v>
      </c>
      <c r="AH102" s="45" t="s">
        <v>382</v>
      </c>
      <c r="AI102" s="45" t="s">
        <v>464</v>
      </c>
      <c r="AJ102" s="45" t="s">
        <v>382</v>
      </c>
      <c r="AK102" s="45" t="s">
        <v>382</v>
      </c>
      <c r="AL102" s="45" t="s">
        <v>382</v>
      </c>
      <c r="AN102" t="s">
        <v>482</v>
      </c>
      <c r="AO102" s="8">
        <f>100*(COUNTIF(AH100:AL104,"g"))/25</f>
        <v>60</v>
      </c>
    </row>
    <row r="103" spans="2:41" ht="12.75">
      <c r="B103" s="49"/>
      <c r="C103" s="50"/>
      <c r="D103" s="50"/>
      <c r="E103" s="50"/>
      <c r="F103" s="50"/>
      <c r="G103" s="50"/>
      <c r="H103" s="50"/>
      <c r="I103" s="50"/>
      <c r="L103" s="48">
        <v>4</v>
      </c>
      <c r="M103" s="45" t="s">
        <v>464</v>
      </c>
      <c r="N103" s="45" t="s">
        <v>464</v>
      </c>
      <c r="O103" s="45" t="s">
        <v>464</v>
      </c>
      <c r="P103" s="45" t="s">
        <v>464</v>
      </c>
      <c r="Q103" s="45" t="s">
        <v>464</v>
      </c>
      <c r="S103" t="s">
        <v>483</v>
      </c>
      <c r="T103" s="8">
        <f>100*(COUNTIF(M100:Q104,"p"))/25</f>
        <v>84</v>
      </c>
      <c r="W103" s="46">
        <v>1</v>
      </c>
      <c r="X103" s="44">
        <v>31</v>
      </c>
      <c r="Y103" s="44">
        <v>70</v>
      </c>
      <c r="Z103" s="44">
        <v>11</v>
      </c>
      <c r="AA103" s="44">
        <v>15</v>
      </c>
      <c r="AB103" s="44">
        <v>34</v>
      </c>
      <c r="AC103" s="50"/>
      <c r="AD103" s="50"/>
      <c r="AG103" s="48">
        <v>4</v>
      </c>
      <c r="AH103" s="45" t="s">
        <v>382</v>
      </c>
      <c r="AI103" s="45" t="s">
        <v>382</v>
      </c>
      <c r="AJ103" s="45" t="s">
        <v>382</v>
      </c>
      <c r="AK103" s="45" t="s">
        <v>464</v>
      </c>
      <c r="AL103" s="45" t="s">
        <v>382</v>
      </c>
      <c r="AN103" t="s">
        <v>483</v>
      </c>
      <c r="AO103" s="8">
        <f>100*(COUNTIF(AH100:AL104,"p"))/25</f>
        <v>40</v>
      </c>
    </row>
    <row r="104" spans="2:41" ht="12.75">
      <c r="B104" s="49"/>
      <c r="C104" s="50"/>
      <c r="D104" s="50"/>
      <c r="E104" s="50"/>
      <c r="F104" s="50"/>
      <c r="G104" s="50"/>
      <c r="H104" s="50"/>
      <c r="I104" s="50"/>
      <c r="L104" s="48">
        <v>5</v>
      </c>
      <c r="M104" s="45" t="s">
        <v>464</v>
      </c>
      <c r="N104" s="45" t="s">
        <v>464</v>
      </c>
      <c r="O104" s="45" t="s">
        <v>464</v>
      </c>
      <c r="P104" s="45" t="s">
        <v>464</v>
      </c>
      <c r="Q104" s="45" t="s">
        <v>463</v>
      </c>
      <c r="S104" t="s">
        <v>484</v>
      </c>
      <c r="T104" s="8">
        <f>100*(COUNTIF(M100:Q104,"c"))/25</f>
        <v>0</v>
      </c>
      <c r="W104" s="46">
        <v>2</v>
      </c>
      <c r="X104" s="44">
        <v>42</v>
      </c>
      <c r="Y104" s="44">
        <v>98</v>
      </c>
      <c r="Z104" s="44">
        <v>4</v>
      </c>
      <c r="AA104" s="44">
        <v>8</v>
      </c>
      <c r="AB104" s="44">
        <v>50</v>
      </c>
      <c r="AC104" s="50"/>
      <c r="AD104" s="50"/>
      <c r="AG104" s="48">
        <v>5</v>
      </c>
      <c r="AH104" s="45" t="s">
        <v>382</v>
      </c>
      <c r="AI104" s="45" t="s">
        <v>382</v>
      </c>
      <c r="AJ104" s="45" t="s">
        <v>382</v>
      </c>
      <c r="AK104" s="45" t="s">
        <v>382</v>
      </c>
      <c r="AL104" s="45" t="s">
        <v>464</v>
      </c>
      <c r="AN104" t="s">
        <v>484</v>
      </c>
      <c r="AO104" s="8">
        <f>100*(COUNTIF(AH100:AL104,"c"))/25</f>
        <v>0</v>
      </c>
    </row>
    <row r="105" spans="2:41" ht="12.75">
      <c r="B105" s="50"/>
      <c r="C105" s="50"/>
      <c r="D105" s="50"/>
      <c r="E105" s="50"/>
      <c r="F105" s="50"/>
      <c r="G105" s="50"/>
      <c r="H105" s="50"/>
      <c r="I105" s="50"/>
      <c r="W105" s="4"/>
      <c r="X105" s="4"/>
      <c r="Y105" s="4"/>
      <c r="Z105" s="4"/>
      <c r="AA105" s="4"/>
      <c r="AB105" s="4"/>
      <c r="AC105" s="4"/>
      <c r="AD105" s="4"/>
      <c r="AO105" s="8"/>
    </row>
    <row r="106" spans="1:41" ht="12.75">
      <c r="A106" t="s">
        <v>471</v>
      </c>
      <c r="B106" s="49"/>
      <c r="C106" s="49"/>
      <c r="D106" s="49"/>
      <c r="E106" s="49"/>
      <c r="F106" s="49"/>
      <c r="G106" s="49"/>
      <c r="H106" s="49"/>
      <c r="I106" s="49"/>
      <c r="L106" s="3"/>
      <c r="M106" s="3">
        <v>1</v>
      </c>
      <c r="N106" s="3">
        <v>2</v>
      </c>
      <c r="O106" s="3">
        <v>3</v>
      </c>
      <c r="P106" s="3">
        <v>4</v>
      </c>
      <c r="Q106" s="3">
        <v>5</v>
      </c>
      <c r="V106" t="s">
        <v>471</v>
      </c>
      <c r="W106" s="11" t="s">
        <v>456</v>
      </c>
      <c r="X106" s="47" t="s">
        <v>457</v>
      </c>
      <c r="Y106" s="47" t="s">
        <v>458</v>
      </c>
      <c r="Z106" s="47" t="s">
        <v>459</v>
      </c>
      <c r="AA106" s="47" t="s">
        <v>460</v>
      </c>
      <c r="AB106" s="47" t="s">
        <v>461</v>
      </c>
      <c r="AC106" s="49"/>
      <c r="AE106" s="8"/>
      <c r="AG106" s="3"/>
      <c r="AH106" s="3">
        <v>1</v>
      </c>
      <c r="AI106" s="3">
        <v>2</v>
      </c>
      <c r="AJ106" s="3">
        <v>3</v>
      </c>
      <c r="AK106" s="3">
        <v>4</v>
      </c>
      <c r="AL106" s="3">
        <v>5</v>
      </c>
      <c r="AO106" s="8"/>
    </row>
    <row r="107" spans="2:41" ht="12.75">
      <c r="B107" s="49"/>
      <c r="C107" s="50"/>
      <c r="D107" s="50"/>
      <c r="E107" s="50"/>
      <c r="F107" s="50"/>
      <c r="G107" s="50"/>
      <c r="H107" s="50"/>
      <c r="I107" s="50"/>
      <c r="L107" s="48">
        <v>1</v>
      </c>
      <c r="M107" s="45" t="s">
        <v>464</v>
      </c>
      <c r="N107" s="45" t="s">
        <v>464</v>
      </c>
      <c r="O107" s="45" t="s">
        <v>464</v>
      </c>
      <c r="P107" s="45" t="s">
        <v>464</v>
      </c>
      <c r="Q107" s="45" t="s">
        <v>382</v>
      </c>
      <c r="S107" t="s">
        <v>480</v>
      </c>
      <c r="T107" s="8">
        <f>100*COUNTIF(M107:Q111,"f")/25</f>
        <v>0</v>
      </c>
      <c r="W107" s="46">
        <v>-2</v>
      </c>
      <c r="X107" s="44">
        <v>7</v>
      </c>
      <c r="Y107" s="44">
        <v>10</v>
      </c>
      <c r="Z107" s="44">
        <v>4</v>
      </c>
      <c r="AA107" s="44">
        <v>15</v>
      </c>
      <c r="AB107" s="44">
        <v>28</v>
      </c>
      <c r="AC107" s="50"/>
      <c r="AD107" t="s">
        <v>480</v>
      </c>
      <c r="AE107" s="8">
        <f>100*COUNTIF(X107:AB111,"f")/25</f>
        <v>16</v>
      </c>
      <c r="AG107" s="48">
        <v>1</v>
      </c>
      <c r="AH107" s="45" t="s">
        <v>463</v>
      </c>
      <c r="AI107" s="45" t="s">
        <v>463</v>
      </c>
      <c r="AJ107" s="45" t="s">
        <v>462</v>
      </c>
      <c r="AK107" s="45" t="s">
        <v>464</v>
      </c>
      <c r="AL107" s="45" t="s">
        <v>463</v>
      </c>
      <c r="AN107" t="s">
        <v>480</v>
      </c>
      <c r="AO107" s="8">
        <f>100*COUNTIF(AH107:AL111,"f")/25</f>
        <v>28</v>
      </c>
    </row>
    <row r="108" spans="2:41" ht="12.75">
      <c r="B108" s="49"/>
      <c r="C108" s="50"/>
      <c r="D108" s="50"/>
      <c r="E108" s="50"/>
      <c r="F108" s="50"/>
      <c r="G108" s="50"/>
      <c r="H108" s="50"/>
      <c r="I108" s="50"/>
      <c r="L108" s="48">
        <v>2</v>
      </c>
      <c r="M108" s="45" t="s">
        <v>464</v>
      </c>
      <c r="N108" s="45" t="s">
        <v>464</v>
      </c>
      <c r="O108" s="45" t="s">
        <v>464</v>
      </c>
      <c r="P108" s="45" t="s">
        <v>464</v>
      </c>
      <c r="Q108" s="45" t="s">
        <v>464</v>
      </c>
      <c r="S108" t="s">
        <v>481</v>
      </c>
      <c r="T108" s="8">
        <f>100*(COUNTIF(M107:Q111,"s"))/25</f>
        <v>4</v>
      </c>
      <c r="W108" s="46">
        <v>-1</v>
      </c>
      <c r="X108" s="44">
        <v>6</v>
      </c>
      <c r="Y108" s="44">
        <v>3</v>
      </c>
      <c r="Z108" s="44">
        <v>4</v>
      </c>
      <c r="AA108" s="44">
        <v>10</v>
      </c>
      <c r="AB108" s="44" t="s">
        <v>462</v>
      </c>
      <c r="AC108" s="50"/>
      <c r="AD108" t="s">
        <v>481</v>
      </c>
      <c r="AE108" s="8">
        <f>100*(COUNTIF(X107:AB111,"s"))/25</f>
        <v>8</v>
      </c>
      <c r="AG108" s="48">
        <v>2</v>
      </c>
      <c r="AH108" s="45" t="s">
        <v>462</v>
      </c>
      <c r="AI108" s="45" t="s">
        <v>382</v>
      </c>
      <c r="AJ108" s="45" t="s">
        <v>462</v>
      </c>
      <c r="AK108" s="45" t="s">
        <v>382</v>
      </c>
      <c r="AL108" s="45" t="s">
        <v>463</v>
      </c>
      <c r="AN108" t="s">
        <v>481</v>
      </c>
      <c r="AO108" s="8">
        <f>100*(COUNTIF(AH107:AL111,"s"))/25</f>
        <v>44</v>
      </c>
    </row>
    <row r="109" spans="2:41" ht="12.75">
      <c r="B109" s="49"/>
      <c r="C109" s="50"/>
      <c r="D109" s="50"/>
      <c r="E109" s="50"/>
      <c r="F109" s="50"/>
      <c r="G109" s="50"/>
      <c r="H109" s="50"/>
      <c r="I109" s="50"/>
      <c r="L109" s="48">
        <v>3</v>
      </c>
      <c r="M109" s="45" t="s">
        <v>382</v>
      </c>
      <c r="N109" s="45" t="s">
        <v>382</v>
      </c>
      <c r="O109" s="45" t="s">
        <v>382</v>
      </c>
      <c r="P109" s="45" t="s">
        <v>382</v>
      </c>
      <c r="Q109" s="45" t="s">
        <v>65</v>
      </c>
      <c r="S109" t="s">
        <v>482</v>
      </c>
      <c r="T109" s="8">
        <f>100*(COUNTIF(M107:Q111,"g"))/25</f>
        <v>44</v>
      </c>
      <c r="W109" s="46">
        <v>0</v>
      </c>
      <c r="X109" s="44" t="s">
        <v>463</v>
      </c>
      <c r="Y109" s="44">
        <v>6</v>
      </c>
      <c r="Z109" s="44">
        <v>41</v>
      </c>
      <c r="AA109" s="44">
        <v>20</v>
      </c>
      <c r="AB109" s="44">
        <v>59</v>
      </c>
      <c r="AC109" s="50"/>
      <c r="AD109" s="50"/>
      <c r="AG109" s="48">
        <v>3</v>
      </c>
      <c r="AH109" s="45" t="s">
        <v>464</v>
      </c>
      <c r="AI109" s="45" t="s">
        <v>463</v>
      </c>
      <c r="AJ109" s="45" t="s">
        <v>462</v>
      </c>
      <c r="AK109" s="45" t="s">
        <v>463</v>
      </c>
      <c r="AL109" s="45" t="s">
        <v>462</v>
      </c>
      <c r="AN109" t="s">
        <v>482</v>
      </c>
      <c r="AO109" s="8">
        <f>100*(COUNTIF(AH107:AL111,"g"))/25</f>
        <v>12</v>
      </c>
    </row>
    <row r="110" spans="2:41" ht="12.75">
      <c r="B110" s="49"/>
      <c r="C110" s="50"/>
      <c r="D110" s="50"/>
      <c r="E110" s="50"/>
      <c r="F110" s="50"/>
      <c r="G110" s="50"/>
      <c r="H110" s="50"/>
      <c r="I110" s="50"/>
      <c r="L110" s="48">
        <v>4</v>
      </c>
      <c r="M110" s="45" t="s">
        <v>382</v>
      </c>
      <c r="N110" s="45" t="s">
        <v>382</v>
      </c>
      <c r="O110" s="45" t="s">
        <v>464</v>
      </c>
      <c r="P110" s="45" t="s">
        <v>464</v>
      </c>
      <c r="Q110" s="45" t="s">
        <v>382</v>
      </c>
      <c r="S110" t="s">
        <v>483</v>
      </c>
      <c r="T110" s="8">
        <f>100*(COUNTIF(M107:Q111,"p"))/25</f>
        <v>48</v>
      </c>
      <c r="W110" s="46">
        <v>1</v>
      </c>
      <c r="X110" s="44" t="s">
        <v>462</v>
      </c>
      <c r="Y110" s="44">
        <v>9</v>
      </c>
      <c r="Z110" s="44">
        <v>43</v>
      </c>
      <c r="AA110" s="44">
        <v>46</v>
      </c>
      <c r="AB110" s="44" t="s">
        <v>462</v>
      </c>
      <c r="AC110" s="50"/>
      <c r="AD110" s="50"/>
      <c r="AG110" s="48">
        <v>4</v>
      </c>
      <c r="AH110" s="45" t="s">
        <v>464</v>
      </c>
      <c r="AI110" s="45" t="s">
        <v>463</v>
      </c>
      <c r="AJ110" s="45" t="s">
        <v>462</v>
      </c>
      <c r="AK110" s="45" t="s">
        <v>463</v>
      </c>
      <c r="AL110" s="45" t="s">
        <v>463</v>
      </c>
      <c r="AN110" t="s">
        <v>483</v>
      </c>
      <c r="AO110" s="8">
        <f>100*(COUNTIF(AH107:AL111,"p"))/25</f>
        <v>16</v>
      </c>
    </row>
    <row r="111" spans="2:41" ht="12.75">
      <c r="B111" s="49"/>
      <c r="C111" s="50"/>
      <c r="D111" s="50"/>
      <c r="E111" s="50"/>
      <c r="F111" s="50"/>
      <c r="G111" s="50"/>
      <c r="H111" s="50"/>
      <c r="I111" s="50"/>
      <c r="L111" s="48">
        <v>5</v>
      </c>
      <c r="M111" s="45" t="s">
        <v>382</v>
      </c>
      <c r="N111" s="45" t="s">
        <v>463</v>
      </c>
      <c r="O111" s="45" t="s">
        <v>464</v>
      </c>
      <c r="P111" s="45" t="s">
        <v>382</v>
      </c>
      <c r="Q111" s="45" t="s">
        <v>382</v>
      </c>
      <c r="S111" t="s">
        <v>484</v>
      </c>
      <c r="T111" s="8">
        <f>100*(COUNTIF(M107:Q111,"c"))/25</f>
        <v>4</v>
      </c>
      <c r="W111" s="46">
        <v>2</v>
      </c>
      <c r="X111" s="44" t="s">
        <v>463</v>
      </c>
      <c r="Y111" s="44">
        <v>6</v>
      </c>
      <c r="Z111" s="44">
        <v>6</v>
      </c>
      <c r="AA111" s="44">
        <v>29</v>
      </c>
      <c r="AB111" s="44" t="s">
        <v>462</v>
      </c>
      <c r="AC111" s="50"/>
      <c r="AD111" s="50"/>
      <c r="AG111" s="48">
        <v>5</v>
      </c>
      <c r="AH111" s="45" t="s">
        <v>463</v>
      </c>
      <c r="AI111" s="45" t="s">
        <v>463</v>
      </c>
      <c r="AJ111" s="45" t="s">
        <v>462</v>
      </c>
      <c r="AK111" s="45" t="s">
        <v>382</v>
      </c>
      <c r="AL111" s="45" t="s">
        <v>464</v>
      </c>
      <c r="AN111" t="s">
        <v>484</v>
      </c>
      <c r="AO111" s="8">
        <f>100*(COUNTIF(AH107:AL111,"c"))/25</f>
        <v>0</v>
      </c>
    </row>
    <row r="113" spans="1:17" ht="12.75">
      <c r="A113" t="s">
        <v>472</v>
      </c>
      <c r="L113" s="3"/>
      <c r="M113" s="3">
        <v>1</v>
      </c>
      <c r="N113" s="3">
        <v>2</v>
      </c>
      <c r="O113" s="3">
        <v>3</v>
      </c>
      <c r="P113" s="3">
        <v>4</v>
      </c>
      <c r="Q113" s="3">
        <v>5</v>
      </c>
    </row>
    <row r="114" spans="12:20" ht="12.75">
      <c r="L114" s="48">
        <v>1</v>
      </c>
      <c r="M114" s="45" t="s">
        <v>462</v>
      </c>
      <c r="N114" s="45" t="s">
        <v>462</v>
      </c>
      <c r="O114" s="45" t="s">
        <v>462</v>
      </c>
      <c r="P114" s="45" t="s">
        <v>462</v>
      </c>
      <c r="Q114" s="45" t="s">
        <v>382</v>
      </c>
      <c r="S114" t="s">
        <v>480</v>
      </c>
      <c r="T114" s="8">
        <f>100*COUNTIF(M114:Q118,"f")/25</f>
        <v>88</v>
      </c>
    </row>
    <row r="115" spans="12:20" ht="12.75">
      <c r="L115" s="48">
        <v>2</v>
      </c>
      <c r="M115" s="45" t="s">
        <v>462</v>
      </c>
      <c r="N115" s="45" t="s">
        <v>462</v>
      </c>
      <c r="O115" s="45" t="s">
        <v>462</v>
      </c>
      <c r="P115" s="45" t="s">
        <v>462</v>
      </c>
      <c r="Q115" s="45" t="s">
        <v>382</v>
      </c>
      <c r="S115" t="s">
        <v>481</v>
      </c>
      <c r="T115" s="8">
        <f>100*(COUNTIF(M114:Q118,"s"))/25</f>
        <v>0</v>
      </c>
    </row>
    <row r="116" spans="12:20" ht="12.75">
      <c r="L116" s="48">
        <v>3</v>
      </c>
      <c r="M116" s="45" t="s">
        <v>462</v>
      </c>
      <c r="N116" s="45" t="s">
        <v>462</v>
      </c>
      <c r="O116" s="45" t="s">
        <v>462</v>
      </c>
      <c r="P116" s="45" t="s">
        <v>462</v>
      </c>
      <c r="Q116" s="45" t="s">
        <v>462</v>
      </c>
      <c r="S116" t="s">
        <v>482</v>
      </c>
      <c r="T116" s="8">
        <f>100*(COUNTIF(M114:Q118,"g"))/25</f>
        <v>12</v>
      </c>
    </row>
    <row r="117" spans="12:20" ht="12.75">
      <c r="L117" s="48">
        <v>4</v>
      </c>
      <c r="M117" s="45" t="s">
        <v>462</v>
      </c>
      <c r="N117" s="45" t="s">
        <v>462</v>
      </c>
      <c r="O117" s="45" t="s">
        <v>462</v>
      </c>
      <c r="P117" s="45" t="s">
        <v>462</v>
      </c>
      <c r="Q117" s="45" t="s">
        <v>462</v>
      </c>
      <c r="S117" t="s">
        <v>483</v>
      </c>
      <c r="T117" s="8">
        <f>100*(COUNTIF(M114:Q118,"p"))/25</f>
        <v>0</v>
      </c>
    </row>
    <row r="118" spans="12:20" ht="12.75">
      <c r="L118" s="48">
        <v>5</v>
      </c>
      <c r="M118" s="45" t="s">
        <v>462</v>
      </c>
      <c r="N118" s="45" t="s">
        <v>462</v>
      </c>
      <c r="O118" s="45" t="s">
        <v>462</v>
      </c>
      <c r="P118" s="45" t="s">
        <v>462</v>
      </c>
      <c r="Q118" s="45" t="s">
        <v>382</v>
      </c>
      <c r="S118" t="s">
        <v>484</v>
      </c>
      <c r="T118" s="8">
        <f>100*(COUNTIF(M114:Q118,"c"))/25</f>
        <v>0</v>
      </c>
    </row>
    <row r="120" spans="1:17" ht="12.75">
      <c r="A120" t="s">
        <v>476</v>
      </c>
      <c r="L120" s="3"/>
      <c r="M120" s="3">
        <v>1</v>
      </c>
      <c r="N120" s="3">
        <v>2</v>
      </c>
      <c r="O120" s="3">
        <v>3</v>
      </c>
      <c r="P120" s="3">
        <v>4</v>
      </c>
      <c r="Q120" s="3">
        <v>5</v>
      </c>
    </row>
    <row r="121" spans="12:20" ht="12.75">
      <c r="L121" s="48">
        <v>1</v>
      </c>
      <c r="M121" s="45" t="s">
        <v>462</v>
      </c>
      <c r="N121" s="45" t="s">
        <v>464</v>
      </c>
      <c r="O121" s="45" t="s">
        <v>462</v>
      </c>
      <c r="P121" s="45" t="s">
        <v>462</v>
      </c>
      <c r="Q121" s="45" t="s">
        <v>464</v>
      </c>
      <c r="S121" t="s">
        <v>480</v>
      </c>
      <c r="T121" s="8">
        <f>100*COUNTIF(M121:Q125,"f")/25</f>
        <v>68</v>
      </c>
    </row>
    <row r="122" spans="12:20" ht="12.75">
      <c r="L122" s="48">
        <v>2</v>
      </c>
      <c r="M122" s="45" t="s">
        <v>462</v>
      </c>
      <c r="N122" s="45" t="s">
        <v>462</v>
      </c>
      <c r="O122" s="45" t="s">
        <v>462</v>
      </c>
      <c r="P122" s="45" t="s">
        <v>464</v>
      </c>
      <c r="Q122" s="45" t="s">
        <v>382</v>
      </c>
      <c r="S122" t="s">
        <v>481</v>
      </c>
      <c r="T122" s="8">
        <f>100*(COUNTIF(M121:Q125,"s"))/25</f>
        <v>0</v>
      </c>
    </row>
    <row r="123" spans="12:20" ht="12.75">
      <c r="L123" s="48">
        <v>3</v>
      </c>
      <c r="M123" s="45" t="s">
        <v>464</v>
      </c>
      <c r="N123" s="45" t="s">
        <v>462</v>
      </c>
      <c r="O123" s="45" t="s">
        <v>462</v>
      </c>
      <c r="P123" s="45" t="s">
        <v>462</v>
      </c>
      <c r="Q123" s="45" t="s">
        <v>462</v>
      </c>
      <c r="S123" t="s">
        <v>482</v>
      </c>
      <c r="T123" s="8">
        <f>100*(COUNTIF(M121:Q125,"g"))/25</f>
        <v>12</v>
      </c>
    </row>
    <row r="124" spans="12:20" ht="12.75">
      <c r="L124" s="48">
        <v>4</v>
      </c>
      <c r="M124" s="45" t="s">
        <v>382</v>
      </c>
      <c r="N124" s="45" t="s">
        <v>462</v>
      </c>
      <c r="O124" s="45" t="s">
        <v>462</v>
      </c>
      <c r="P124" s="45" t="s">
        <v>462</v>
      </c>
      <c r="Q124" s="45" t="s">
        <v>382</v>
      </c>
      <c r="S124" t="s">
        <v>483</v>
      </c>
      <c r="T124" s="8">
        <f>100*(COUNTIF(M121:Q125,"p"))/25</f>
        <v>20</v>
      </c>
    </row>
    <row r="125" spans="12:20" ht="12.75">
      <c r="L125" s="48">
        <v>5</v>
      </c>
      <c r="M125" s="45" t="s">
        <v>462</v>
      </c>
      <c r="N125" s="45" t="s">
        <v>462</v>
      </c>
      <c r="O125" s="45" t="s">
        <v>462</v>
      </c>
      <c r="P125" s="45" t="s">
        <v>464</v>
      </c>
      <c r="Q125" s="45" t="s">
        <v>462</v>
      </c>
      <c r="S125" t="s">
        <v>484</v>
      </c>
      <c r="T125" s="8">
        <f>100*(COUNTIF(M121:Q125,"c"))/25</f>
        <v>0</v>
      </c>
    </row>
    <row r="126" ht="12.75">
      <c r="O126" s="52"/>
    </row>
    <row r="127" spans="1:17" ht="12.75">
      <c r="A127" t="s">
        <v>477</v>
      </c>
      <c r="L127" s="3"/>
      <c r="M127" s="3">
        <v>1</v>
      </c>
      <c r="N127" s="3">
        <v>2</v>
      </c>
      <c r="O127" s="3">
        <v>3</v>
      </c>
      <c r="P127" s="3">
        <v>4</v>
      </c>
      <c r="Q127" s="3">
        <v>5</v>
      </c>
    </row>
    <row r="128" spans="12:20" ht="12.75">
      <c r="L128" s="48">
        <v>1</v>
      </c>
      <c r="M128" s="45" t="s">
        <v>382</v>
      </c>
      <c r="N128" s="45" t="s">
        <v>462</v>
      </c>
      <c r="O128" s="45" t="s">
        <v>462</v>
      </c>
      <c r="P128" s="45" t="s">
        <v>462</v>
      </c>
      <c r="Q128" s="45" t="s">
        <v>462</v>
      </c>
      <c r="S128" t="s">
        <v>480</v>
      </c>
      <c r="T128" s="8">
        <f>100*COUNTIF(M128:Q132,"f")/25</f>
        <v>80</v>
      </c>
    </row>
    <row r="129" spans="12:20" ht="12.75">
      <c r="L129" s="48">
        <v>2</v>
      </c>
      <c r="M129" s="45" t="s">
        <v>462</v>
      </c>
      <c r="N129" s="45" t="s">
        <v>382</v>
      </c>
      <c r="O129" s="45" t="s">
        <v>382</v>
      </c>
      <c r="P129" s="45" t="s">
        <v>462</v>
      </c>
      <c r="Q129" s="45" t="s">
        <v>462</v>
      </c>
      <c r="S129" t="s">
        <v>481</v>
      </c>
      <c r="T129" s="8">
        <f>100*(COUNTIF(M128:Q132,"s"))/25</f>
        <v>0</v>
      </c>
    </row>
    <row r="130" spans="12:20" ht="12.75">
      <c r="L130" s="48">
        <v>3</v>
      </c>
      <c r="M130" s="45" t="s">
        <v>462</v>
      </c>
      <c r="N130" s="45" t="s">
        <v>382</v>
      </c>
      <c r="O130" s="45" t="s">
        <v>462</v>
      </c>
      <c r="P130" s="45" t="s">
        <v>382</v>
      </c>
      <c r="Q130" s="45" t="s">
        <v>462</v>
      </c>
      <c r="S130" t="s">
        <v>482</v>
      </c>
      <c r="T130" s="8">
        <f>100*(COUNTIF(M128:Q132,"g"))/25</f>
        <v>20</v>
      </c>
    </row>
    <row r="131" spans="12:20" ht="12.75">
      <c r="L131" s="48">
        <v>4</v>
      </c>
      <c r="M131" s="45" t="s">
        <v>462</v>
      </c>
      <c r="N131" s="45" t="s">
        <v>462</v>
      </c>
      <c r="O131" s="45" t="s">
        <v>462</v>
      </c>
      <c r="P131" s="45" t="s">
        <v>462</v>
      </c>
      <c r="Q131" s="45" t="s">
        <v>462</v>
      </c>
      <c r="S131" t="s">
        <v>483</v>
      </c>
      <c r="T131" s="8">
        <f>100*(COUNTIF(M128:Q132,"p"))/25</f>
        <v>0</v>
      </c>
    </row>
    <row r="132" spans="12:20" ht="12.75">
      <c r="L132" s="48">
        <v>5</v>
      </c>
      <c r="M132" s="45" t="s">
        <v>462</v>
      </c>
      <c r="N132" s="45" t="s">
        <v>462</v>
      </c>
      <c r="O132" s="45" t="s">
        <v>462</v>
      </c>
      <c r="P132" s="45" t="s">
        <v>462</v>
      </c>
      <c r="Q132" s="45" t="s">
        <v>462</v>
      </c>
      <c r="S132" t="s">
        <v>484</v>
      </c>
      <c r="T132" s="8">
        <f>100*(COUNTIF(M128:Q132,"c"))/25</f>
        <v>0</v>
      </c>
    </row>
    <row r="134" spans="1:17" ht="12.75">
      <c r="A134" t="s">
        <v>478</v>
      </c>
      <c r="L134" s="3"/>
      <c r="M134" s="3">
        <v>1</v>
      </c>
      <c r="N134" s="3">
        <v>2</v>
      </c>
      <c r="O134" s="3">
        <v>3</v>
      </c>
      <c r="P134" s="3">
        <v>4</v>
      </c>
      <c r="Q134" s="3">
        <v>5</v>
      </c>
    </row>
    <row r="135" spans="12:20" ht="12.75">
      <c r="L135" s="48">
        <v>1</v>
      </c>
      <c r="M135" s="45" t="s">
        <v>462</v>
      </c>
      <c r="N135" s="45" t="s">
        <v>462</v>
      </c>
      <c r="O135" s="45" t="s">
        <v>462</v>
      </c>
      <c r="P135" s="45" t="s">
        <v>382</v>
      </c>
      <c r="Q135" s="45" t="s">
        <v>382</v>
      </c>
      <c r="S135" t="s">
        <v>480</v>
      </c>
      <c r="T135" s="8">
        <f>100*COUNTIF(M135:Q139,"f")/25</f>
        <v>20</v>
      </c>
    </row>
    <row r="136" spans="12:20" ht="12.75">
      <c r="L136" s="48">
        <v>2</v>
      </c>
      <c r="M136" s="45" t="s">
        <v>463</v>
      </c>
      <c r="N136" s="45" t="s">
        <v>382</v>
      </c>
      <c r="O136" s="45" t="s">
        <v>463</v>
      </c>
      <c r="P136" s="45" t="s">
        <v>462</v>
      </c>
      <c r="Q136" s="45" t="s">
        <v>463</v>
      </c>
      <c r="S136" t="s">
        <v>481</v>
      </c>
      <c r="T136" s="8">
        <f>100*(COUNTIF(M135:Q139,"s"))/25</f>
        <v>28</v>
      </c>
    </row>
    <row r="137" spans="12:20" ht="12.75">
      <c r="L137" s="48">
        <v>3</v>
      </c>
      <c r="M137" s="45" t="s">
        <v>382</v>
      </c>
      <c r="N137" s="45" t="s">
        <v>463</v>
      </c>
      <c r="O137" s="45" t="s">
        <v>382</v>
      </c>
      <c r="P137" s="45" t="s">
        <v>382</v>
      </c>
      <c r="Q137" s="45" t="s">
        <v>382</v>
      </c>
      <c r="S137" t="s">
        <v>482</v>
      </c>
      <c r="T137" s="8">
        <f>100*(COUNTIF(M135:Q139,"g"))/25</f>
        <v>52</v>
      </c>
    </row>
    <row r="138" spans="12:20" ht="12.75">
      <c r="L138" s="48">
        <v>4</v>
      </c>
      <c r="M138" s="45" t="s">
        <v>382</v>
      </c>
      <c r="N138" s="45" t="s">
        <v>382</v>
      </c>
      <c r="O138" s="45" t="s">
        <v>462</v>
      </c>
      <c r="P138" s="45" t="s">
        <v>463</v>
      </c>
      <c r="Q138" s="45" t="s">
        <v>382</v>
      </c>
      <c r="S138" t="s">
        <v>483</v>
      </c>
      <c r="T138" s="8">
        <f>100*(COUNTIF(M135:Q139,"p"))/25</f>
        <v>0</v>
      </c>
    </row>
    <row r="139" spans="12:20" ht="12.75">
      <c r="L139" s="48">
        <v>5</v>
      </c>
      <c r="M139" s="45" t="s">
        <v>463</v>
      </c>
      <c r="N139" s="45" t="s">
        <v>382</v>
      </c>
      <c r="O139" s="45" t="s">
        <v>463</v>
      </c>
      <c r="P139" s="45" t="s">
        <v>382</v>
      </c>
      <c r="Q139" s="45" t="s">
        <v>382</v>
      </c>
      <c r="S139" t="s">
        <v>484</v>
      </c>
      <c r="T139" s="8">
        <f>100*(COUNTIF(M135:Q139,"c"))/25</f>
        <v>0</v>
      </c>
    </row>
    <row r="140" ht="12.75">
      <c r="M140" s="52"/>
    </row>
    <row r="141" spans="1:17" ht="12.75">
      <c r="A141" t="s">
        <v>479</v>
      </c>
      <c r="L141" s="3"/>
      <c r="M141" s="3">
        <v>1</v>
      </c>
      <c r="N141" s="3">
        <v>2</v>
      </c>
      <c r="O141" s="3">
        <v>3</v>
      </c>
      <c r="P141" s="3">
        <v>4</v>
      </c>
      <c r="Q141" s="3">
        <v>5</v>
      </c>
    </row>
    <row r="142" spans="12:20" ht="12.75">
      <c r="L142" s="48">
        <v>1</v>
      </c>
      <c r="M142" s="45" t="s">
        <v>462</v>
      </c>
      <c r="N142" s="45" t="s">
        <v>462</v>
      </c>
      <c r="O142" s="45" t="s">
        <v>462</v>
      </c>
      <c r="P142" s="45" t="s">
        <v>462</v>
      </c>
      <c r="Q142" s="45" t="s">
        <v>462</v>
      </c>
      <c r="S142" t="s">
        <v>480</v>
      </c>
      <c r="T142" s="8">
        <f>100*COUNTIF(M142:Q146,"f")/25</f>
        <v>100</v>
      </c>
    </row>
    <row r="143" spans="12:20" ht="12.75">
      <c r="L143" s="48">
        <v>2</v>
      </c>
      <c r="M143" s="45" t="s">
        <v>462</v>
      </c>
      <c r="N143" s="45" t="s">
        <v>462</v>
      </c>
      <c r="O143" s="45" t="s">
        <v>462</v>
      </c>
      <c r="P143" s="45" t="s">
        <v>462</v>
      </c>
      <c r="Q143" s="45" t="s">
        <v>462</v>
      </c>
      <c r="S143" t="s">
        <v>481</v>
      </c>
      <c r="T143" s="8">
        <f>100*(COUNTIF(M142:Q146,"s"))/25</f>
        <v>0</v>
      </c>
    </row>
    <row r="144" spans="12:20" ht="12.75">
      <c r="L144" s="48">
        <v>3</v>
      </c>
      <c r="M144" s="45" t="s">
        <v>462</v>
      </c>
      <c r="N144" s="45" t="s">
        <v>462</v>
      </c>
      <c r="O144" s="45" t="s">
        <v>462</v>
      </c>
      <c r="P144" s="45" t="s">
        <v>462</v>
      </c>
      <c r="Q144" s="45" t="s">
        <v>462</v>
      </c>
      <c r="S144" t="s">
        <v>482</v>
      </c>
      <c r="T144" s="8">
        <f>100*(COUNTIF(M142:Q146,"g"))/25</f>
        <v>0</v>
      </c>
    </row>
    <row r="145" spans="12:20" ht="12.75">
      <c r="L145" s="48">
        <v>4</v>
      </c>
      <c r="M145" s="45" t="s">
        <v>462</v>
      </c>
      <c r="N145" s="45" t="s">
        <v>462</v>
      </c>
      <c r="O145" s="45" t="s">
        <v>462</v>
      </c>
      <c r="P145" s="45" t="s">
        <v>462</v>
      </c>
      <c r="Q145" s="45" t="s">
        <v>462</v>
      </c>
      <c r="S145" t="s">
        <v>483</v>
      </c>
      <c r="T145" s="8">
        <f>100*(COUNTIF(M142:Q146,"p"))/25</f>
        <v>0</v>
      </c>
    </row>
    <row r="146" spans="12:20" ht="12.75">
      <c r="L146" s="48">
        <v>5</v>
      </c>
      <c r="M146" s="45" t="s">
        <v>462</v>
      </c>
      <c r="N146" s="45" t="s">
        <v>462</v>
      </c>
      <c r="O146" s="45" t="s">
        <v>462</v>
      </c>
      <c r="P146" s="45" t="s">
        <v>462</v>
      </c>
      <c r="Q146" s="45" t="s">
        <v>462</v>
      </c>
      <c r="S146" t="s">
        <v>484</v>
      </c>
      <c r="T146" s="8">
        <f>100*(COUNTIF(M142:Q146,"c"))/25</f>
        <v>0</v>
      </c>
    </row>
    <row r="149" spans="2:23" ht="12.75">
      <c r="B149" s="3" t="s">
        <v>560</v>
      </c>
      <c r="C149" s="3" t="s">
        <v>560</v>
      </c>
      <c r="D149" s="3" t="s">
        <v>566</v>
      </c>
      <c r="E149" s="3" t="s">
        <v>566</v>
      </c>
      <c r="V149" s="3"/>
      <c r="W149" s="4"/>
    </row>
    <row r="150" spans="1:5" ht="12.75">
      <c r="A150" t="s">
        <v>561</v>
      </c>
      <c r="B150" s="4">
        <f>100*COUNTIF(X42:AB74,"f")/125</f>
        <v>0</v>
      </c>
      <c r="C150" s="4">
        <f>100*COUNTIF(C42:G74,"f")/125</f>
        <v>5.6</v>
      </c>
      <c r="D150" s="4">
        <f>100*COUNTIF(X5:AB37,"f")/125</f>
        <v>8</v>
      </c>
      <c r="E150" s="4">
        <f>100*COUNTIF(C5:G37,"f")/125</f>
        <v>16</v>
      </c>
    </row>
    <row r="151" spans="1:5" ht="12.75">
      <c r="A151" t="s">
        <v>362</v>
      </c>
      <c r="B151" s="4">
        <f>100*COUNTIF(X42:AB74,"s")/125</f>
        <v>7.2</v>
      </c>
      <c r="C151" s="4">
        <f>100*COUNTIF(C42:G74,"s")/125</f>
        <v>12.8</v>
      </c>
      <c r="D151" s="4">
        <f>100*COUNTIF(X5:AB37,"s")/125</f>
        <v>12.8</v>
      </c>
      <c r="E151" s="4">
        <f>100*COUNTIF(C5:G37,"s")/125</f>
        <v>5.6</v>
      </c>
    </row>
    <row r="152" spans="1:5" ht="12.75">
      <c r="A152" t="s">
        <v>562</v>
      </c>
      <c r="B152" s="4">
        <f>100*((COUNTIF(X42:AB74,"&gt;2"))-(COUNTIF(X42:AB74,"&gt;16")))/125</f>
        <v>10.4</v>
      </c>
      <c r="C152" s="4">
        <f>100*((COUNTIF(C42:G74,"&gt;2"))-(COUNTIF(C42:G74,"&gt;16")))/125</f>
        <v>13.6</v>
      </c>
      <c r="D152" s="4">
        <f>100*((COUNTIF(X5:AB37,"&gt;=2"))-(COUNTIF(X5:AB37,"&gt;16")))/125</f>
        <v>48.8</v>
      </c>
      <c r="E152" s="4">
        <f>100*((COUNTIF(C5:G37,"&gt;=2"))-(COUNTIF(C5:G37,"&gt;16")))/125</f>
        <v>43.2</v>
      </c>
    </row>
    <row r="153" spans="1:5" ht="12.75">
      <c r="A153" t="s">
        <v>563</v>
      </c>
      <c r="B153" s="4">
        <f>100*((COUNTIF(X42:AB74,"&gt;16"))-(COUNTIF(X42:AB74,"&gt;64")))/125</f>
        <v>82.4</v>
      </c>
      <c r="C153" s="4">
        <f>100*((COUNTIF(C42:G74,"&gt;16"))-(COUNTIF(C42:G74,"&gt;64")))/125</f>
        <v>66.4</v>
      </c>
      <c r="D153" s="4">
        <f>100*((COUNTIF(X5:AB37,"&gt;16"))-(COUNTIF(X5:AB36,"&gt;64")))/125</f>
        <v>30.4</v>
      </c>
      <c r="E153" s="4">
        <f>100*((COUNTIF(C5:G37,"&gt;16"))-(COUNTIF(C5:G36,"&gt;64")))/125</f>
        <v>35.2</v>
      </c>
    </row>
    <row r="154" spans="1:5" ht="12.75">
      <c r="A154" t="s">
        <v>564</v>
      </c>
      <c r="B154" s="4">
        <f>100*((COUNTIF(X42:AB74,"&gt;64"))-(COUNTIF(X42:AB74,"&gt;256")))/125</f>
        <v>0</v>
      </c>
      <c r="C154" s="4">
        <f>100*((COUNTIF(C42:G74,"&gt;64"))-(COUNTIF(C42:G74,"&gt;256")))/125</f>
        <v>1.6</v>
      </c>
      <c r="D154" s="4">
        <f>100*((COUNTIF(X5:AB37,"&gt;64"))-(COUNTIF(X5:AB37,"&gt;256")))/125</f>
        <v>0</v>
      </c>
      <c r="E154" s="4">
        <f>100*((COUNTIF(C5:G37,"&gt;64"))-(COUNTIF(C5:G37,"&gt;256")))/125</f>
        <v>0</v>
      </c>
    </row>
    <row r="155" spans="1:5" ht="12.75">
      <c r="A155" t="s">
        <v>565</v>
      </c>
      <c r="B155" s="4">
        <f>100*(COUNTIF(X42:AB74,"&gt;256")/125)</f>
        <v>0</v>
      </c>
      <c r="C155" s="4">
        <f>100*(COUNTIF(C42:G74,"&gt;256")/125)</f>
        <v>0</v>
      </c>
      <c r="D155" s="4">
        <f>100*(COUNTIF(X5:AB37,"&gt;256")/125)</f>
        <v>0</v>
      </c>
      <c r="E155" s="4">
        <f>100*(COUNTIF(C5:G37,"&gt;256")/125)</f>
        <v>0</v>
      </c>
    </row>
    <row r="156" spans="1:5" ht="12.75">
      <c r="A156" t="s">
        <v>567</v>
      </c>
      <c r="B156" s="4">
        <f>SUM(B150:B155)</f>
        <v>100</v>
      </c>
      <c r="C156" s="4">
        <f>SUM(C150:C155)</f>
        <v>100</v>
      </c>
      <c r="D156" s="4">
        <f>SUM(D150:D155)</f>
        <v>100</v>
      </c>
      <c r="E156" s="4">
        <f>SUM(E150:E155)</f>
        <v>100.00000000000001</v>
      </c>
    </row>
    <row r="157" spans="2:23" ht="12.75">
      <c r="B157" s="4" t="s">
        <v>568</v>
      </c>
      <c r="D157" s="4" t="s">
        <v>569</v>
      </c>
      <c r="V157" s="3"/>
      <c r="W157" s="4"/>
    </row>
    <row r="158" spans="2:5" ht="12.75">
      <c r="B158" s="4">
        <v>2007</v>
      </c>
      <c r="C158" s="4">
        <v>2008</v>
      </c>
      <c r="D158" s="4">
        <v>2007</v>
      </c>
      <c r="E158" s="4">
        <v>2008</v>
      </c>
    </row>
  </sheetData>
  <mergeCells count="12">
    <mergeCell ref="W40:AB40"/>
    <mergeCell ref="AG40:AL40"/>
    <mergeCell ref="B40:G40"/>
    <mergeCell ref="L40:Q40"/>
    <mergeCell ref="B3:G3"/>
    <mergeCell ref="L3:Q3"/>
    <mergeCell ref="W3:AB3"/>
    <mergeCell ref="AG3:AL3"/>
    <mergeCell ref="B77:G77"/>
    <mergeCell ref="L77:Q77"/>
    <mergeCell ref="W77:AB77"/>
    <mergeCell ref="AG77:AL77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Herbst</dc:creator>
  <cp:keywords/>
  <dc:description/>
  <cp:lastModifiedBy>tom suk </cp:lastModifiedBy>
  <cp:lastPrinted>2004-06-01T20:53:49Z</cp:lastPrinted>
  <dcterms:created xsi:type="dcterms:W3CDTF">2001-05-06T00:34:00Z</dcterms:created>
  <dcterms:modified xsi:type="dcterms:W3CDTF">2009-07-30T18:00:03Z</dcterms:modified>
  <cp:category/>
  <cp:version/>
  <cp:contentType/>
  <cp:contentStatus/>
</cp:coreProperties>
</file>