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285" tabRatio="902" activeTab="0"/>
  </bookViews>
  <sheets>
    <sheet name="Criteria" sheetId="1" r:id="rId1"/>
    <sheet name="data input for RPA" sheetId="2" r:id="rId2"/>
    <sheet name="RPA" sheetId="3" r:id="rId3"/>
    <sheet name="WQBEL" sheetId="4" r:id="rId4"/>
    <sheet name="Receiving Water Data" sheetId="5" r:id="rId5"/>
    <sheet name="Priority pollutant EffluentDa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'[2]DGEF0696'!#REF!</definedName>
    <definedName name="\b">'[3]DIG1095'!#REF!</definedName>
    <definedName name="\c">'[2]DGEF0696'!#REF!</definedName>
    <definedName name="\d">'[2]DGEF0696'!#REF!</definedName>
    <definedName name="\e">'[2]DGEF0696'!#REF!</definedName>
    <definedName name="\f">'[1]Metals'!#REF!</definedName>
    <definedName name="\g">#REF!</definedName>
    <definedName name="\i">'[2]DGEF0696'!#REF!</definedName>
    <definedName name="\p">#REF!</definedName>
    <definedName name="\s">#N/A</definedName>
    <definedName name="\w">'[2]DGEF0696'!#REF!</definedName>
    <definedName name="\y">'[4]BACT1295'!$A$43</definedName>
    <definedName name="\z">#REF!</definedName>
    <definedName name="AAMACRO">'[2]DGEF0696'!#REF!</definedName>
    <definedName name="ABMACRO">'[2]DGEF0696'!#REF!</definedName>
    <definedName name="BIOCALC">#REF!</definedName>
    <definedName name="COLIFORM">'[4]BACT1295'!$J$9</definedName>
    <definedName name="DAY">'[2]DGEF0696'!#REF!</definedName>
    <definedName name="header">#REF!</definedName>
    <definedName name="_xlnm.Print_Area" localSheetId="5">'Priority pollutant EffluentData'!$A$1:$K$372</definedName>
    <definedName name="_xlnm.Print_Area" localSheetId="4">'Receiving Water Data'!$A$1:$P$172</definedName>
    <definedName name="_xlnm.Print_Area" localSheetId="2">'RPA'!$A$1:$V$131</definedName>
    <definedName name="Print_Area_MI">#REF!</definedName>
    <definedName name="_xlnm.Print_Titles" localSheetId="0">'Criteria'!$A:$B,'Criteria'!$7:$10</definedName>
    <definedName name="_xlnm.Print_Titles" localSheetId="1">'data input for RPA'!$7:$9</definedName>
    <definedName name="_xlnm.Print_Titles" localSheetId="5">'Priority pollutant EffluentData'!$1:$1</definedName>
    <definedName name="_xlnm.Print_Titles" localSheetId="4">'Receiving Water Data'!$1:$2</definedName>
    <definedName name="_xlnm.Print_Titles" localSheetId="2">'RPA'!$A:$B,'RPA'!$1:$3</definedName>
    <definedName name="TIME">'[4]BACT1295'!$B$9</definedName>
    <definedName name="Z_F3335199_F00C_43D9_AF8D_EBA7B04A9D70_.wvu.Cols" localSheetId="0" hidden="1">'Criteria'!$D:$E</definedName>
    <definedName name="Z_F3335199_F00C_43D9_AF8D_EBA7B04A9D70_.wvu.Cols" localSheetId="3" hidden="1">'WQBEL'!#REF!</definedName>
    <definedName name="Z_F3335199_F00C_43D9_AF8D_EBA7B04A9D70_.wvu.PrintTitles" localSheetId="0" hidden="1">'Criteria'!$A:$B,'Criteria'!$7:$10</definedName>
    <definedName name="Z_F3335199_F00C_43D9_AF8D_EBA7B04A9D70_.wvu.PrintTitles" localSheetId="1" hidden="1">'data input for RPA'!$7:$9</definedName>
    <definedName name="Z_F3335199_F00C_43D9_AF8D_EBA7B04A9D70_.wvu.PrintTitles" localSheetId="2" hidden="1">'RPA'!$A:$B,'RPA'!$1:$3</definedName>
  </definedNames>
  <calcPr fullCalcOnLoad="1"/>
</workbook>
</file>

<file path=xl/comments1.xml><?xml version="1.0" encoding="utf-8"?>
<comments xmlns="http://schemas.openxmlformats.org/spreadsheetml/2006/main">
  <authors>
    <author>Dr. Indra N. Mitra</author>
    <author>laducan</author>
    <author>tong</author>
  </authors>
  <commentList>
    <comment ref="B1" authorId="0">
      <text>
        <r>
          <rPr>
            <sz val="8"/>
            <rFont val="Tahoma"/>
            <family val="2"/>
          </rPr>
          <t>RB2: BP criteria selected for As, Cd, Cr, Pb, Hg, Ni, Se, Ag, Zn, and CN - for waters in the region except for South Bay below Dumbarton Bridge.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 xml:space="preserve">Table 1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U8" authorId="0">
      <text>
        <r>
          <rPr>
            <b/>
            <sz val="8"/>
            <rFont val="Tahoma"/>
            <family val="0"/>
          </rPr>
          <t xml:space="preserve">Table 2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ahoma"/>
            <family val="2"/>
          </rPr>
          <t>select BP criteria for RB2
except for So. Bay below Dumbarton Bridge</t>
        </r>
      </text>
    </comment>
    <comment ref="B14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K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M14" authorId="1">
      <text>
        <r>
          <rPr>
            <sz val="8"/>
            <rFont val="Tahoma"/>
            <family val="0"/>
          </rPr>
          <t>These reflect the values in the CTR, not the revised Cd criteria published in April 2000.</t>
        </r>
      </text>
    </comment>
    <comment ref="Q14" authorId="1">
      <text>
        <r>
          <rPr>
            <sz val="8"/>
            <rFont val="Tahoma"/>
            <family val="0"/>
          </rPr>
          <t>These reflect the values in the CTR, not the revised Cd criteria/factors published in April 2000.</t>
        </r>
      </text>
    </comment>
    <comment ref="U14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select BP criteria for RB2 except for So. Bay below Dumbarton Bridge</t>
        </r>
      </text>
    </comment>
    <comment ref="K17" authorId="0">
      <text>
        <r>
          <rPr>
            <sz val="8"/>
            <rFont val="Tahoma"/>
            <family val="2"/>
          </rPr>
          <t>used eq in paragraph b(2) - page 31717 of CTR
convert to dissolved using CTR translator, then covert to total using site-specific translator</t>
        </r>
      </text>
    </comment>
    <comment ref="L17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convert to dissolved using CTR translator, then covert to total using site-specific translator</t>
        </r>
      </text>
    </comment>
    <comment ref="M17" authorId="1">
      <text>
        <r>
          <rPr>
            <sz val="8"/>
            <rFont val="Tahoma"/>
            <family val="0"/>
          </rPr>
          <t xml:space="preserve">4.8 divided by CTR translator
</t>
        </r>
      </text>
    </comment>
    <comment ref="N17" authorId="1">
      <text>
        <r>
          <rPr>
            <sz val="8"/>
            <rFont val="Tahoma"/>
            <family val="0"/>
          </rPr>
          <t xml:space="preserve">3.1 divided by CTR translator 
</t>
        </r>
      </text>
    </comment>
    <comment ref="B18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K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V18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B19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F19" authorId="1">
      <text>
        <r>
          <rPr>
            <sz val="8"/>
            <rFont val="Tahoma"/>
            <family val="2"/>
          </rPr>
          <t>although 0.012 is desirable, compliance can only be met at 0.025 det. Limit. See BP footnote for details. Table 3-4.</t>
        </r>
      </text>
    </comment>
    <comment ref="B20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K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see footnote 'p'</t>
        </r>
        <r>
          <rPr>
            <sz val="8"/>
            <rFont val="Tahoma"/>
            <family val="0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Refer to CTR, footnotes p and q, for explanation.  NTR values apply to Suisun Bay, both freshwater and saltwater values.</t>
        </r>
      </text>
    </comment>
    <comment ref="N21" authorId="1">
      <text>
        <r>
          <rPr>
            <sz val="8"/>
            <rFont val="Tahoma"/>
            <family val="0"/>
          </rPr>
          <t xml:space="preserve">Refer to CTR, footnotes p and q, for explanation.  NTR values apply to Suisun Bay, both freshwater and saltwater values.
</t>
        </r>
      </text>
    </comment>
    <comment ref="B22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K22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K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K64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L64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H132" authorId="1">
      <text>
        <r>
          <rPr>
            <sz val="8"/>
            <rFont val="Tahoma"/>
            <family val="0"/>
          </rPr>
          <t xml:space="preserve">It is an EPA revised criteria (sw). For details, see email from RB2 (LR).
</t>
        </r>
      </text>
    </comment>
    <comment ref="F17" authorId="0">
      <text>
        <r>
          <rPr>
            <sz val="8"/>
            <rFont val="Tahoma"/>
            <family val="2"/>
          </rPr>
          <t>used eq in paragraph b(2) - page 31717 of CTR
convert to dissolved using CTR translator, then covert to total using site-specific translator</t>
        </r>
      </text>
    </comment>
    <comment ref="G17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convert to dissolved using CTR translator, then covert to total using site-specific translator</t>
        </r>
      </text>
    </comment>
    <comment ref="F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F14" authorId="2">
      <text>
        <r>
          <rPr>
            <sz val="8"/>
            <rFont val="Tahoma"/>
            <family val="0"/>
          </rPr>
          <t xml:space="preserve">1995 BP WQO
</t>
        </r>
      </text>
    </comment>
    <comment ref="G14" authorId="2">
      <text>
        <r>
          <rPr>
            <sz val="8"/>
            <rFont val="Tahoma"/>
            <family val="0"/>
          </rPr>
          <t xml:space="preserve">1995 BP WQO
</t>
        </r>
      </text>
    </comment>
  </commentList>
</comments>
</file>

<file path=xl/comments2.xml><?xml version="1.0" encoding="utf-8"?>
<comments xmlns="http://schemas.openxmlformats.org/spreadsheetml/2006/main">
  <authors>
    <author>Dr. Indra N. Mitra</author>
  </authors>
  <commentList>
    <comment ref="D8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0"/>
          </rPr>
          <t>Enter data only if there is an 'Y' in 1st column to the left</t>
        </r>
      </text>
    </comment>
    <comment ref="F8" authorId="0">
      <text>
        <r>
          <rPr>
            <sz val="8"/>
            <rFont val="Tahoma"/>
            <family val="0"/>
          </rPr>
          <t>Enter data only if there is 'N' in 2nd column to the left and 'Y' in 3rd column to the left</t>
        </r>
      </text>
    </comment>
  </commentList>
</comments>
</file>

<file path=xl/sharedStrings.xml><?xml version="1.0" encoding="utf-8"?>
<sst xmlns="http://schemas.openxmlformats.org/spreadsheetml/2006/main" count="3788" uniqueCount="755">
  <si>
    <t>Beginning</t>
  </si>
  <si>
    <t>Step 2</t>
  </si>
  <si>
    <t>Step 3</t>
  </si>
  <si>
    <t>Step 4</t>
  </si>
  <si>
    <t>Step 5</t>
  </si>
  <si>
    <t>Step 6</t>
  </si>
  <si>
    <t xml:space="preserve">Constituent name </t>
  </si>
  <si>
    <t>Basin Plan Objectives (ug/L)- Regional Board 2</t>
  </si>
  <si>
    <t>CTR Water Quality Criteria (ug/L)</t>
  </si>
  <si>
    <t>from Table 4-3</t>
  </si>
  <si>
    <t>Freshwater</t>
  </si>
  <si>
    <t>Saltwater</t>
  </si>
  <si>
    <t xml:space="preserve">Conversion Factor (CF) </t>
  </si>
  <si>
    <t>Deep Water (24-hr)</t>
  </si>
  <si>
    <t>1-hr</t>
  </si>
  <si>
    <t>24-hr</t>
  </si>
  <si>
    <t>4-day</t>
  </si>
  <si>
    <t>Organisms only</t>
  </si>
  <si>
    <t>freshwater acute criteria</t>
  </si>
  <si>
    <t>freshwater chronic criteria</t>
  </si>
  <si>
    <t>saltwater acute criteria</t>
  </si>
  <si>
    <t>saltwater chronic criteria</t>
  </si>
  <si>
    <t>Antimony</t>
  </si>
  <si>
    <t>Y</t>
  </si>
  <si>
    <t>N</t>
  </si>
  <si>
    <t xml:space="preserve">Beryllium </t>
  </si>
  <si>
    <t>5a</t>
  </si>
  <si>
    <t>5b</t>
  </si>
  <si>
    <t>Thallium</t>
  </si>
  <si>
    <t>Asbestos</t>
  </si>
  <si>
    <t>Acrolein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</si>
  <si>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</si>
  <si>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</si>
  <si>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</si>
  <si>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</si>
  <si>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</si>
  <si>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</si>
  <si>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</si>
  <si>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</si>
  <si>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</si>
  <si>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</si>
  <si>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</si>
  <si>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</si>
  <si>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</si>
  <si>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</si>
  <si>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</si>
  <si>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</si>
  <si>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</si>
  <si>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</si>
  <si>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</si>
  <si>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</si>
  <si>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</si>
  <si>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</si>
  <si>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</si>
  <si>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</si>
  <si>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</si>
  <si>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</si>
  <si>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</si>
  <si>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2-Chlorophenol</t>
  </si>
  <si>
    <t>2,4-Dichlorophenol</t>
  </si>
  <si>
    <t>2,4-Dimethylphenol</t>
  </si>
  <si>
    <t>2-Methyl- 4,6-Dinitrophenol</t>
  </si>
  <si>
    <t>2,4-Dinitrophenol</t>
  </si>
  <si>
    <t>2-Nitrophenol</t>
  </si>
  <si>
    <t>4-Nitrophenol</t>
  </si>
  <si>
    <t>3-Methyl 4-Chlorophenol</t>
  </si>
  <si>
    <t>Pentachlorophenol</t>
  </si>
  <si>
    <t>Phenol</t>
  </si>
  <si>
    <t>2,4,6-Trichlorophenol</t>
  </si>
  <si>
    <t>Acenaphthene</t>
  </si>
  <si>
    <t>Acenaphthylene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</si>
  <si>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</si>
  <si>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</si>
  <si>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</si>
  <si>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</si>
  <si>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</si>
  <si>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</si>
  <si>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</si>
  <si>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</si>
  <si>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</si>
  <si>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</si>
  <si>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</si>
  <si>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</si>
  <si>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</si>
  <si>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</si>
  <si>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</si>
  <si>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</si>
  <si>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</si>
  <si>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</si>
  <si>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</si>
  <si>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</si>
  <si>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 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</si>
  <si>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</si>
  <si>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</si>
  <si>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</si>
  <si>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</si>
  <si>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</si>
  <si>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</si>
  <si>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</si>
  <si>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</si>
  <si>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</si>
  <si>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</si>
  <si>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</si>
  <si>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</si>
  <si>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</si>
  <si>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</si>
  <si>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</si>
  <si>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</si>
  <si>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</si>
  <si>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</si>
  <si>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</si>
  <si>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</si>
  <si>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</si>
  <si>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</si>
  <si>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</si>
  <si>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</si>
  <si>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</si>
  <si>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</si>
  <si>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</si>
  <si>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</si>
  <si>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 (303d listed)</t>
  </si>
  <si>
    <t>4,4'-DDT (303d listed)</t>
  </si>
  <si>
    <t>4,4'-DDE (linked to DDT)</t>
  </si>
  <si>
    <t>4,4'-DDD</t>
  </si>
  <si>
    <t>Dieldrin (303d listed)</t>
  </si>
  <si>
    <t>alpha-Endosulfan</t>
  </si>
  <si>
    <t>beta-Endolsulfan</t>
  </si>
  <si>
    <t>Endosulfan Sulfate</t>
  </si>
  <si>
    <t>Endrin</t>
  </si>
  <si>
    <t>Endrin Aldehyde</t>
  </si>
  <si>
    <t>Heptachlor</t>
  </si>
  <si>
    <t>Heptachlor Epoxide</t>
  </si>
  <si>
    <t>Toxaphene</t>
  </si>
  <si>
    <t xml:space="preserve">a. The most stringent of salt and fresh water criteria were selected for this analysis. </t>
  </si>
  <si>
    <t>IM: Interim monitoring is required</t>
  </si>
  <si>
    <r>
      <t xml:space="preserve">Arsenic </t>
    </r>
    <r>
      <rPr>
        <vertAlign val="superscript"/>
        <sz val="10"/>
        <rFont val="Arial"/>
        <family val="2"/>
      </rPr>
      <t>b</t>
    </r>
  </si>
  <si>
    <r>
      <t xml:space="preserve">Cadmium  </t>
    </r>
    <r>
      <rPr>
        <vertAlign val="superscript"/>
        <sz val="10"/>
        <rFont val="Arial"/>
        <family val="2"/>
      </rPr>
      <t>b</t>
    </r>
  </si>
  <si>
    <r>
      <t xml:space="preserve">Lead </t>
    </r>
    <r>
      <rPr>
        <vertAlign val="superscript"/>
        <sz val="10"/>
        <rFont val="Arial"/>
        <family val="2"/>
      </rPr>
      <t>b</t>
    </r>
  </si>
  <si>
    <r>
      <t xml:space="preserve">Mercury (303d listed) </t>
    </r>
    <r>
      <rPr>
        <vertAlign val="superscript"/>
        <sz val="10"/>
        <rFont val="Arial"/>
        <family val="2"/>
      </rPr>
      <t>b</t>
    </r>
  </si>
  <si>
    <r>
      <t xml:space="preserve">Nickel </t>
    </r>
    <r>
      <rPr>
        <vertAlign val="superscript"/>
        <sz val="10"/>
        <rFont val="Arial"/>
        <family val="2"/>
      </rPr>
      <t>b</t>
    </r>
  </si>
  <si>
    <r>
      <t xml:space="preserve">Silver </t>
    </r>
    <r>
      <rPr>
        <vertAlign val="superscript"/>
        <sz val="10"/>
        <rFont val="Arial"/>
        <family val="2"/>
      </rPr>
      <t>b</t>
    </r>
  </si>
  <si>
    <r>
      <t xml:space="preserve">Zinc </t>
    </r>
    <r>
      <rPr>
        <vertAlign val="superscript"/>
        <sz val="10"/>
        <rFont val="Arial"/>
        <family val="2"/>
      </rPr>
      <t>b</t>
    </r>
  </si>
  <si>
    <r>
      <t xml:space="preserve">Cyanide </t>
    </r>
    <r>
      <rPr>
        <vertAlign val="superscript"/>
        <sz val="10"/>
        <rFont val="Arial"/>
        <family val="2"/>
      </rPr>
      <t>b</t>
    </r>
  </si>
  <si>
    <r>
      <t xml:space="preserve">Selenium (303d listed) </t>
    </r>
    <r>
      <rPr>
        <vertAlign val="superscript"/>
        <sz val="10"/>
        <rFont val="Arial"/>
        <family val="2"/>
      </rPr>
      <t>b</t>
    </r>
  </si>
  <si>
    <t>b. According to Table 1 of Section (b)(1) of CTR (40CFR 131.38), those criteria should use Basin Plan objectives; criteria for Se and CN are specified by the NTR.</t>
  </si>
  <si>
    <r>
      <t xml:space="preserve">Chromium (VI) </t>
    </r>
    <r>
      <rPr>
        <vertAlign val="superscript"/>
        <sz val="10"/>
        <rFont val="Arial"/>
        <family val="2"/>
      </rPr>
      <t>b</t>
    </r>
  </si>
  <si>
    <r>
      <t>C (</t>
    </r>
    <r>
      <rPr>
        <sz val="10"/>
        <rFont val="Symbol"/>
        <family val="1"/>
      </rPr>
      <t>m</t>
    </r>
    <r>
      <rPr>
        <i/>
        <sz val="10"/>
        <rFont val="Arial"/>
        <family val="2"/>
      </rPr>
      <t>g/L)</t>
    </r>
  </si>
  <si>
    <r>
      <t xml:space="preserve">Lowest (most stringent) Criteria </t>
    </r>
    <r>
      <rPr>
        <i/>
        <vertAlign val="superscript"/>
        <sz val="10"/>
        <rFont val="Arial"/>
        <family val="2"/>
      </rPr>
      <t>e</t>
    </r>
  </si>
  <si>
    <t>Effluent Data Available (Y/N)?</t>
  </si>
  <si>
    <t>Are all data points non-detects (Y/N)?</t>
  </si>
  <si>
    <t>Final Result</t>
  </si>
  <si>
    <t>PRIORITY POLLUTANTS</t>
  </si>
  <si>
    <t>Arsenic</t>
  </si>
  <si>
    <t>Basis and Criteria type</t>
  </si>
  <si>
    <t>Lowest WQO</t>
  </si>
  <si>
    <t>Translators</t>
  </si>
  <si>
    <t>Dilution Factor (D) (if applicable)</t>
  </si>
  <si>
    <t>HH criteria analysis required? (Y/N)</t>
  </si>
  <si>
    <t>Applicable Acute WQO</t>
  </si>
  <si>
    <t>Applicable Chronic WQO</t>
  </si>
  <si>
    <t>HH criteria</t>
  </si>
  <si>
    <t>Background (avg conc for HH calc)</t>
  </si>
  <si>
    <t>Is the pollutant Bioaccumulative(Y/N)? (e.g., Hg)</t>
  </si>
  <si>
    <t>ECA acute</t>
  </si>
  <si>
    <t>ECA chronic</t>
  </si>
  <si>
    <t>ECA HH</t>
  </si>
  <si>
    <t>CV calculated</t>
  </si>
  <si>
    <t>CV (Selected) - Final</t>
  </si>
  <si>
    <t>ECA acute mult99</t>
  </si>
  <si>
    <t>ECA chronic mult99</t>
  </si>
  <si>
    <t>LTA acute</t>
  </si>
  <si>
    <t>LTA chronic</t>
  </si>
  <si>
    <t>minimum of LTAs</t>
  </si>
  <si>
    <t>AMEL mult95</t>
  </si>
  <si>
    <t>MDEL mult99</t>
  </si>
  <si>
    <t>AMEL (aq life)</t>
  </si>
  <si>
    <t>MDEL(aq life)</t>
  </si>
  <si>
    <t xml:space="preserve">MDEL/AMEL Multiplier </t>
  </si>
  <si>
    <t>AMEL (human hlth)</t>
  </si>
  <si>
    <t>MDEL (human hlth)</t>
  </si>
  <si>
    <t>minimum of AMEL for Aq. life vs HH</t>
  </si>
  <si>
    <t>minimum of MDEL for Aq. Life vs HH</t>
  </si>
  <si>
    <t>N/A</t>
  </si>
  <si>
    <t>Final limit - AMEL</t>
  </si>
  <si>
    <t>Final limit - MDEL</t>
  </si>
  <si>
    <t>Lowest (most stringent) Criteria (Enter "No Criteria" for no criteria)</t>
  </si>
  <si>
    <t>Is it a RB2 facility (Y/N)?</t>
  </si>
  <si>
    <t>Hardness (mg/L CaCO3)</t>
  </si>
  <si>
    <t>pH (s.u.)</t>
  </si>
  <si>
    <t>Note: DO NOT enter any value for the column that is NOT applicable</t>
  </si>
  <si>
    <t>Note: Numbers in blue have formula in the cells - calculates values automatically</t>
  </si>
  <si>
    <t>Freshwater                       (from Table 3-4)</t>
  </si>
  <si>
    <t>Human Health for consumption of:</t>
  </si>
  <si>
    <t># in CTR</t>
  </si>
  <si>
    <t>Shallow Water</t>
  </si>
  <si>
    <t>CMC (acute)</t>
  </si>
  <si>
    <t>CCC (chronic)</t>
  </si>
  <si>
    <t>Water &amp; organisms</t>
  </si>
  <si>
    <t>ma</t>
  </si>
  <si>
    <t>ba</t>
  </si>
  <si>
    <t>mc</t>
  </si>
  <si>
    <t>bc</t>
  </si>
  <si>
    <t>ug/L</t>
  </si>
  <si>
    <t>Beryllium</t>
  </si>
  <si>
    <t>Cadmium</t>
  </si>
  <si>
    <t xml:space="preserve">Copper </t>
  </si>
  <si>
    <t>Lead</t>
  </si>
  <si>
    <t>Mercury</t>
  </si>
  <si>
    <t>Nickel</t>
  </si>
  <si>
    <t>Selenium</t>
  </si>
  <si>
    <t>Silver</t>
  </si>
  <si>
    <t>Zinc</t>
  </si>
  <si>
    <t>Cyanide</t>
  </si>
  <si>
    <t>Chlordibromomethane</t>
  </si>
  <si>
    <t>2-Chloroethylvinyl Ether</t>
  </si>
  <si>
    <t>Chlorophenol</t>
  </si>
  <si>
    <t>2-Methyl-4,6-Dinitrophenol</t>
  </si>
  <si>
    <t>3-Methyl-4-Chlorophenol</t>
  </si>
  <si>
    <t>Acenephthylene</t>
  </si>
  <si>
    <t>3,3'-Dichlorobenzidine</t>
  </si>
  <si>
    <t>Indeno(1,2,3-cd) Pyrene</t>
  </si>
  <si>
    <t>naphthalene</t>
  </si>
  <si>
    <t>Chlordane</t>
  </si>
  <si>
    <t>4,4-DDT</t>
  </si>
  <si>
    <t>4,4-DDE</t>
  </si>
  <si>
    <t>4,4-DDD</t>
  </si>
  <si>
    <t>Dieldrin</t>
  </si>
  <si>
    <t>beta-Endosulfan</t>
  </si>
  <si>
    <t>Heptchlor Epoxide</t>
  </si>
  <si>
    <t>119-125</t>
  </si>
  <si>
    <t>PCBs sum (2)</t>
  </si>
  <si>
    <t>Tributyltin</t>
  </si>
  <si>
    <t>Notes:</t>
  </si>
  <si>
    <t>(1)</t>
  </si>
  <si>
    <t>(2)</t>
  </si>
  <si>
    <t xml:space="preserve">PCBs sum refers to sum of PCB 1016, 1221, 1232, 1242, 1248, 1254, and 1260 </t>
  </si>
  <si>
    <t>For Cd, Cr(III), Cu, Pb, Ni, Ag, Zn - not applicable to Se</t>
  </si>
  <si>
    <t>Factors for Metals Freshwater Criteria Calculation</t>
  </si>
  <si>
    <t>Reason</t>
  </si>
  <si>
    <t>Copper</t>
  </si>
  <si>
    <t>If all data points are ND and MinDL&gt;C, interim monitoring is required</t>
  </si>
  <si>
    <t xml:space="preserve">      (MEC= deteted max value; if all ND &amp; MDL&lt;C then MEC = MDL)</t>
  </si>
  <si>
    <t>Maximum Pollutant Concentration from the effluent (MEC) (ug/L)</t>
  </si>
  <si>
    <t>If all data points ND Enter the min detection limit (MDL) (ug/L)</t>
  </si>
  <si>
    <t>Enter the pollutant effluent detected max conc (ug/L)</t>
  </si>
  <si>
    <t>MEC vs. C</t>
  </si>
  <si>
    <t xml:space="preserve">1. If MEC&gt; or =C, effluent limitation is required; 2. If MEC&lt;C, go to Step 5 </t>
  </si>
  <si>
    <t>B vs. C</t>
  </si>
  <si>
    <t>Steps 7 &amp; 8</t>
  </si>
  <si>
    <t xml:space="preserve">7) Review other information in the SIP page 4.  If information is unavailable or insufficient: 8) the RWQCB shall establish interim monitoring requirements. </t>
  </si>
  <si>
    <t>RPA Result</t>
  </si>
  <si>
    <t>Input Check</t>
  </si>
  <si>
    <t>Yellow highlights are user input</t>
  </si>
  <si>
    <t>Green highlight checks for input inconsistency (see "input check" spreadsheet for logic)</t>
  </si>
  <si>
    <t>Tributylin</t>
  </si>
  <si>
    <t>B Available (Y/N)?</t>
  </si>
  <si>
    <t>Are all B non-detects (Y/N)?</t>
  </si>
  <si>
    <t>Enter the Detected Maximum Background Conc</t>
  </si>
  <si>
    <t>EFFLUENT  DATA</t>
  </si>
  <si>
    <t>BACKGROUND  DATA (B)</t>
  </si>
  <si>
    <t>Are all B data points non-detects (Y/N)?</t>
  </si>
  <si>
    <t>Enter the pollutant B detected max conc (ug/L)</t>
  </si>
  <si>
    <t>If all B is ND, is MDL&gt;C?</t>
  </si>
  <si>
    <t>Max Effl Conc (MEC)</t>
  </si>
  <si>
    <t xml:space="preserve">Arsenic </t>
  </si>
  <si>
    <t xml:space="preserve">Cadmium  </t>
  </si>
  <si>
    <t xml:space="preserve">Lead </t>
  </si>
  <si>
    <t xml:space="preserve">Mercury </t>
  </si>
  <si>
    <t xml:space="preserve">Nickel </t>
  </si>
  <si>
    <t xml:space="preserve">Silver </t>
  </si>
  <si>
    <t xml:space="preserve">Zinc </t>
  </si>
  <si>
    <t xml:space="preserve">Cyanide </t>
  </si>
  <si>
    <t xml:space="preserve">Chlordane </t>
  </si>
  <si>
    <t xml:space="preserve">4,4'-DDT </t>
  </si>
  <si>
    <t xml:space="preserve">PCBs sum </t>
  </si>
  <si>
    <t>Aquatic life criteria analysis required? (Y/N)</t>
  </si>
  <si>
    <t>Background (max conc for Aq Life calc)</t>
  </si>
  <si>
    <t>Avg of effluent data points</t>
  </si>
  <si>
    <t>Std Dev of effluent data points</t>
  </si>
  <si>
    <t>No. of samples per month</t>
  </si>
  <si>
    <t>CTR SW</t>
  </si>
  <si>
    <t>No. of data points &lt;10 or at least 80% of data reported non detect? (Y/N)</t>
  </si>
  <si>
    <t>Ud: Cannot determine reasonable potential due to the absence of data, or because Minimum DL is greater than water quality objective or CTR criteria</t>
  </si>
  <si>
    <t>PCBs sum (3)</t>
  </si>
  <si>
    <t>Site-Specific Translators</t>
  </si>
  <si>
    <t>Acute</t>
  </si>
  <si>
    <t>Chronic</t>
  </si>
  <si>
    <t>Current limits in permit (daily) (final/interim)</t>
  </si>
  <si>
    <t>Current limit in permit (30-d avg) (final/interim)</t>
  </si>
  <si>
    <t>TCDD TEQ</t>
  </si>
  <si>
    <t>Units</t>
  </si>
  <si>
    <t>Interim limit if infeasible to comply with WQBELs</t>
  </si>
  <si>
    <t>Saltwater                      (from Table 3-3)</t>
  </si>
  <si>
    <t>Total PAHs</t>
  </si>
  <si>
    <t>TCDD TEQ (303d listed)</t>
  </si>
  <si>
    <t>3,3-Dichlorobenzidine</t>
  </si>
  <si>
    <t xml:space="preserve">c. Acronyms in the "Final Result" column: </t>
  </si>
  <si>
    <t>ND</t>
  </si>
  <si>
    <t>Chromium (VI)</t>
  </si>
  <si>
    <t xml:space="preserve">Chromium (VI) </t>
  </si>
  <si>
    <t>Previous permit limit</t>
  </si>
  <si>
    <t>99.87th percentile of recent data</t>
  </si>
  <si>
    <t>Chromium (III or total)</t>
  </si>
  <si>
    <t>2,3,7,8-TCDD</t>
  </si>
  <si>
    <t>0.50</t>
  </si>
  <si>
    <t>0.30</t>
  </si>
  <si>
    <t>0.20</t>
  </si>
  <si>
    <t>0.15</t>
  </si>
  <si>
    <t>0.33</t>
  </si>
  <si>
    <t>0.48</t>
  </si>
  <si>
    <t>0.13</t>
  </si>
  <si>
    <t>0.36</t>
  </si>
  <si>
    <t>0.29</t>
  </si>
  <si>
    <t>0.28</t>
  </si>
  <si>
    <t>0.24</t>
  </si>
  <si>
    <t>0.16</t>
  </si>
  <si>
    <t>0.40</t>
  </si>
  <si>
    <t>0.34</t>
  </si>
  <si>
    <t>0.88</t>
  </si>
  <si>
    <t>0.32</t>
  </si>
  <si>
    <t>0.23</t>
  </si>
  <si>
    <t>1.8</t>
  </si>
  <si>
    <t>3.3</t>
  </si>
  <si>
    <t>2.9</t>
  </si>
  <si>
    <t>0.59</t>
  </si>
  <si>
    <t>0.21</t>
  </si>
  <si>
    <t>0.27</t>
  </si>
  <si>
    <t>2.5</t>
  </si>
  <si>
    <t>2.6</t>
  </si>
  <si>
    <t>4.4</t>
  </si>
  <si>
    <t>0.74</t>
  </si>
  <si>
    <t>1.5</t>
  </si>
  <si>
    <t>3.6</t>
  </si>
  <si>
    <t>Kobe</t>
  </si>
  <si>
    <t>mg/L</t>
  </si>
  <si>
    <t>EPA 1631</t>
  </si>
  <si>
    <t>Cyanide (total)</t>
  </si>
  <si>
    <t>EPA 600</t>
  </si>
  <si>
    <t>0.2 MFL &gt;10um</t>
  </si>
  <si>
    <t>Carbon tetrachloride</t>
  </si>
  <si>
    <t>Dibromochloromethane</t>
  </si>
  <si>
    <t>Bromodichloromethane</t>
  </si>
  <si>
    <t>1,1-Dichloroethene</t>
  </si>
  <si>
    <t>1,3-Dichloropropene</t>
  </si>
  <si>
    <t>EPA 8260B</t>
  </si>
  <si>
    <t>Bromomethane</t>
  </si>
  <si>
    <t>Chloromethane</t>
  </si>
  <si>
    <t>Tetrachloroethene</t>
  </si>
  <si>
    <t>trans-1,2-Dichloroethene</t>
  </si>
  <si>
    <t>Trichloroethene</t>
  </si>
  <si>
    <t>Vinyl chloride</t>
  </si>
  <si>
    <t>EPA 8270C</t>
  </si>
  <si>
    <t>4,6-Dinitro-2-methylphenol</t>
  </si>
  <si>
    <t>4-Chloro-3-methylphenol</t>
  </si>
  <si>
    <t>Benzo (a) anthracene</t>
  </si>
  <si>
    <t>Benzo (a) pyrene</t>
  </si>
  <si>
    <t>Benzo (b) fluoranthene</t>
  </si>
  <si>
    <t>Benzo (g,h,i) perylene</t>
  </si>
  <si>
    <t>Benzo (k) 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</si>
  <si>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</si>
  <si>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</si>
  <si>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</si>
  <si>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</si>
  <si>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</si>
  <si>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 benzyl phthalate</t>
  </si>
  <si>
    <t>4-Chlorophenyl phenyl ether</t>
  </si>
  <si>
    <t>Dibenz (a,h) anthracene</t>
  </si>
  <si>
    <t>3,3´-Dichlorobenzidine</t>
  </si>
  <si>
    <t>Diethyl phthalate</t>
  </si>
  <si>
    <t>Dimethyl phthalate</t>
  </si>
  <si>
    <t>Di-n-butyl phthalate</t>
  </si>
  <si>
    <t>Di-n-octyl phthalate</t>
  </si>
  <si>
    <t>Indeno (1,2,3-cd) pyrene</t>
  </si>
  <si>
    <t>N-Nitrosodi-n-propylamine</t>
  </si>
  <si>
    <t>gamma-BHC (Lindane)</t>
  </si>
  <si>
    <t>Chlordane (tech)</t>
  </si>
  <si>
    <t>4,4´-DDT</t>
  </si>
  <si>
    <t>4,4´-DDE</t>
  </si>
  <si>
    <t>4,4´-DDD</t>
  </si>
  <si>
    <t>EPA 8081</t>
  </si>
  <si>
    <t>Endosulfan I</t>
  </si>
  <si>
    <t>Endosulfan II</t>
  </si>
  <si>
    <t>Endosulfan sulfate</t>
  </si>
  <si>
    <t>PCB-1016</t>
  </si>
  <si>
    <t>EPA 8082</t>
  </si>
  <si>
    <t>PCB-1221</t>
  </si>
  <si>
    <t>PCB-1232</t>
  </si>
  <si>
    <t>PCB-1242</t>
  </si>
  <si>
    <t>PCB-1248</t>
  </si>
  <si>
    <t>PCB-1254</t>
  </si>
  <si>
    <t>PCB-1260</t>
  </si>
  <si>
    <t>Chromium</t>
  </si>
  <si>
    <t>Hexavalent Chromium</t>
  </si>
  <si>
    <t>EPA 7196A</t>
  </si>
  <si>
    <t>INORGANICS</t>
  </si>
  <si>
    <t>PESTICIDES - PCBs</t>
  </si>
  <si>
    <t>SEMI-VOLATILE ORGANICS</t>
  </si>
  <si>
    <t>cis-1,2-Dichloroethene</t>
  </si>
  <si>
    <t>Methyl tert-butyl ether</t>
  </si>
  <si>
    <t>Trichlorofluoromethane</t>
  </si>
  <si>
    <t>Freon 113</t>
  </si>
  <si>
    <t>Styrene</t>
  </si>
  <si>
    <t>Total Xylenes</t>
  </si>
  <si>
    <t>Alachlor</t>
  </si>
  <si>
    <t>Di(2-ethylhexyl)adipate</t>
  </si>
  <si>
    <t>Aluminum</t>
  </si>
  <si>
    <t>Barium</t>
  </si>
  <si>
    <t>Fluoride</t>
  </si>
  <si>
    <t>Iron</t>
  </si>
  <si>
    <t>Manganese</t>
  </si>
  <si>
    <t>GC/FID</t>
  </si>
  <si>
    <t>Methoxychlor</t>
  </si>
  <si>
    <t>EPA 200.8</t>
  </si>
  <si>
    <t>EPA 335.2</t>
  </si>
  <si>
    <t>EPA 200.7</t>
  </si>
  <si>
    <t>EPA 300.0</t>
  </si>
  <si>
    <t>1.0</t>
  </si>
  <si>
    <t/>
  </si>
  <si>
    <t>J flag</t>
  </si>
  <si>
    <t>5.0</t>
  </si>
  <si>
    <t>10</t>
  </si>
  <si>
    <t>MFL</t>
  </si>
  <si>
    <t>7.3</t>
  </si>
  <si>
    <t>100</t>
  </si>
  <si>
    <t>5.8</t>
  </si>
  <si>
    <t>20</t>
  </si>
  <si>
    <t>0.18</t>
  </si>
  <si>
    <t>0.42</t>
  </si>
  <si>
    <t>0.22</t>
  </si>
  <si>
    <t>0.037</t>
  </si>
  <si>
    <t>0.050</t>
  </si>
  <si>
    <t>0.070</t>
  </si>
  <si>
    <t>0.066</t>
  </si>
  <si>
    <t>0.10</t>
  </si>
  <si>
    <t>0.025</t>
  </si>
  <si>
    <t>0.0050</t>
  </si>
  <si>
    <t>0.010</t>
  </si>
  <si>
    <t>Pollutants</t>
  </si>
  <si>
    <t>Sample date</t>
  </si>
  <si>
    <t>Report Date</t>
  </si>
  <si>
    <t>Method</t>
  </si>
  <si>
    <t>Results</t>
  </si>
  <si>
    <t>PQL</t>
  </si>
  <si>
    <t>MDL</t>
  </si>
  <si>
    <t>RL</t>
  </si>
  <si>
    <t>Note</t>
  </si>
  <si>
    <t xml:space="preserve">Receiving body: hardness = 25 mg/L,esturaine </t>
  </si>
  <si>
    <t>Chlorine, Residual</t>
  </si>
  <si>
    <t>EPA 330.5</t>
  </si>
  <si>
    <t>Chemical Oxygen Demand</t>
  </si>
  <si>
    <t>EPA 410.4</t>
  </si>
  <si>
    <t>Oil and Grease</t>
  </si>
  <si>
    <t>EPA 413.2</t>
  </si>
  <si>
    <t>pH</t>
  </si>
  <si>
    <t>EPA 150.1</t>
  </si>
  <si>
    <t>STU</t>
  </si>
  <si>
    <t>Phsphorus, Total</t>
  </si>
  <si>
    <t>EPA365.2</t>
  </si>
  <si>
    <t>Sulfide</t>
  </si>
  <si>
    <t>EPA 376.2</t>
  </si>
  <si>
    <t>Sulfite</t>
  </si>
  <si>
    <t>EPA 377.1</t>
  </si>
  <si>
    <t>Total Organic Carbon</t>
  </si>
  <si>
    <t>EPA 415.2</t>
  </si>
  <si>
    <t>Total Suspended Solids</t>
  </si>
  <si>
    <t>EPA 160.2</t>
  </si>
  <si>
    <t>Boron</t>
  </si>
  <si>
    <t>Cobalt</t>
  </si>
  <si>
    <t>Magnesium</t>
  </si>
  <si>
    <t>Maganese</t>
  </si>
  <si>
    <t>EPA 200.7`</t>
  </si>
  <si>
    <t>EPA 245.1</t>
  </si>
  <si>
    <t>Molybdenum</t>
  </si>
  <si>
    <t>Tin</t>
  </si>
  <si>
    <t>Titanium</t>
  </si>
  <si>
    <t>Vanadium</t>
  </si>
  <si>
    <t>EPA 8081A</t>
  </si>
  <si>
    <t>ug/l</t>
  </si>
  <si>
    <t>endosulfan I</t>
  </si>
  <si>
    <t>4,4'-DDE</t>
  </si>
  <si>
    <t>4,4'-DDT</t>
  </si>
  <si>
    <t>Endrin Ketone</t>
  </si>
  <si>
    <t>aniline</t>
  </si>
  <si>
    <t>Bis (2-Chloroethyl)ether</t>
  </si>
  <si>
    <t>Benzyl Alcohol</t>
  </si>
  <si>
    <t>bis (2-Chloroisopropyl)ether</t>
  </si>
  <si>
    <t>2-Methylphenol</t>
  </si>
  <si>
    <t>n-Nitroso-di-n-propylamine</t>
  </si>
  <si>
    <t>4-methylphenol</t>
  </si>
  <si>
    <t>4-Chloroaniline</t>
  </si>
  <si>
    <t>2-Methylnaphthalene</t>
  </si>
  <si>
    <t>2,4,5-Trichlorophenol</t>
  </si>
  <si>
    <t>2-nitroaniline</t>
  </si>
  <si>
    <t>Benozoic Acid</t>
  </si>
  <si>
    <t>3-Nitroaniline</t>
  </si>
  <si>
    <t>Dibenzofuran</t>
  </si>
  <si>
    <t>4-Nitroaniline</t>
  </si>
  <si>
    <t>Azobenzene</t>
  </si>
  <si>
    <t>Benzo(b)fluoranthene</t>
  </si>
  <si>
    <t>Benzo(k)fluoranthene</t>
  </si>
  <si>
    <t>Benzo(a)pyrene</t>
  </si>
  <si>
    <t>Dibenz(a,h)anthracene</t>
  </si>
  <si>
    <t>Pyridine</t>
  </si>
  <si>
    <t>NMP</t>
  </si>
  <si>
    <t>1,1,1,2-Tetrachloroethane</t>
  </si>
  <si>
    <t>1,1-Dichloropropene</t>
  </si>
  <si>
    <t>1,2,3-Trichlorobenzene</t>
  </si>
  <si>
    <t>1,2,3-Trichloropropane</t>
  </si>
  <si>
    <t>1,2,4-Trimethylbenzene</t>
  </si>
  <si>
    <t>1,2-Dibromo-3-Chloropropane</t>
  </si>
  <si>
    <t>1,2-Dibromoethane (EDB)</t>
  </si>
  <si>
    <t>1,3,5-Trimethylbenzene</t>
  </si>
  <si>
    <t>1,3-Dichloropropane</t>
  </si>
  <si>
    <t>2,2-Dichloropropane</t>
  </si>
  <si>
    <t>2-Butanone (MEK)</t>
  </si>
  <si>
    <t>2-Chlorotoluene</t>
  </si>
  <si>
    <t>2-Hexanone</t>
  </si>
  <si>
    <t>4-Chlorotoluene</t>
  </si>
  <si>
    <t>4-Methyl-2-Pentanone (MIBK)</t>
  </si>
  <si>
    <t>Acetone</t>
  </si>
  <si>
    <t>Allyl Chloride</t>
  </si>
  <si>
    <t>Benzyl Chloride</t>
  </si>
  <si>
    <t>Bromobenzene</t>
  </si>
  <si>
    <t>Bromochloromethane</t>
  </si>
  <si>
    <t>Carbon Disulfide</t>
  </si>
  <si>
    <t>cis-1,2-Dichloroethane</t>
  </si>
  <si>
    <t>cis-1,3-Dichloropropene</t>
  </si>
  <si>
    <t>Dibromomethane</t>
  </si>
  <si>
    <t>Dichlorodifluoromethane</t>
  </si>
  <si>
    <t>Diisopropyl Ether</t>
  </si>
  <si>
    <t>Ethyl Benzene</t>
  </si>
  <si>
    <t>Ethyl Methacrylate</t>
  </si>
  <si>
    <t>Iodomethane</t>
  </si>
  <si>
    <t>Isopropylbenzene</t>
  </si>
  <si>
    <t>Methacrylonitrile</t>
  </si>
  <si>
    <t>Methyl Methacrylate</t>
  </si>
  <si>
    <t>Methyl-t-butyl Ether</t>
  </si>
  <si>
    <t>n-Butylbenzene</t>
  </si>
  <si>
    <t>n-Propylbenzene</t>
  </si>
  <si>
    <t>p-Isopropyltoluene</t>
  </si>
  <si>
    <t>Pentachloroethane</t>
  </si>
  <si>
    <t>Propionitrile</t>
  </si>
  <si>
    <t>sec-Butylbenzene</t>
  </si>
  <si>
    <t>tert-Amyl Methyl Ether</t>
  </si>
  <si>
    <t>tert-Butanol</t>
  </si>
  <si>
    <t>tert-Butyl Ethyl Ether</t>
  </si>
  <si>
    <t>tert-Butylbenzene</t>
  </si>
  <si>
    <t>trans-1,3-Dichloropropene</t>
  </si>
  <si>
    <t>trans-1,4-Dichloro-2-butene</t>
  </si>
  <si>
    <t>Xylenes, Total</t>
  </si>
  <si>
    <t>Biochemical Oxygen Demand</t>
  </si>
  <si>
    <t>EPA 405.1</t>
  </si>
  <si>
    <t>mg/l</t>
  </si>
  <si>
    <t>mg/l J flag</t>
  </si>
  <si>
    <t>Bromide</t>
  </si>
  <si>
    <t>EPA 300</t>
  </si>
  <si>
    <t xml:space="preserve">mg/l  </t>
  </si>
  <si>
    <t>Nitrogen, Nitrite</t>
  </si>
  <si>
    <t>Nitrogen, Nitrate (as N)</t>
  </si>
  <si>
    <t>Sulfate</t>
  </si>
  <si>
    <t xml:space="preserve">Cyanide  </t>
  </si>
  <si>
    <t>MBAS</t>
  </si>
  <si>
    <t>EPA 425.1</t>
  </si>
  <si>
    <t>Phenolics, Total Recoverable</t>
  </si>
  <si>
    <t>EPA 420.1</t>
  </si>
  <si>
    <t>Ammonia N</t>
  </si>
  <si>
    <t>EPA 350.3</t>
  </si>
  <si>
    <t>Nitrogen Kjeldahl</t>
  </si>
  <si>
    <t>EPA 351.3</t>
  </si>
  <si>
    <t>Total Coliform Bacteria</t>
  </si>
  <si>
    <t>Fecal Coliform Bacteria</t>
  </si>
  <si>
    <t>SM 9221B</t>
  </si>
  <si>
    <t>SM 9221E</t>
  </si>
  <si>
    <t>&lt;2</t>
  </si>
  <si>
    <t>EPA 8082A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</si>
  <si>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</si>
  <si>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</si>
  <si>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</si>
  <si>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</si>
  <si>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</si>
  <si>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</si>
  <si>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</si>
  <si>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Reason (Final)</t>
  </si>
  <si>
    <t>If B&gt;C, and MEC is detected, effluent limitation is required</t>
  </si>
  <si>
    <t>Result</t>
  </si>
  <si>
    <t>1,1,1-trichloroethane</t>
  </si>
  <si>
    <t>VOC EPA 8260B</t>
  </si>
  <si>
    <t>1,1-dichloroethane</t>
  </si>
  <si>
    <t>1,1,2,2-tetrachloroethane</t>
  </si>
  <si>
    <t>1,1-dichloroethene</t>
  </si>
  <si>
    <t>1,1,2-trichloroethane</t>
  </si>
  <si>
    <t>1,1,2,2-trtrachloroethane</t>
  </si>
  <si>
    <t>1,1-dichloropropane</t>
  </si>
  <si>
    <t>1,2-dichlorobenzene</t>
  </si>
  <si>
    <t>1,2-dichloroethane</t>
  </si>
  <si>
    <t>cis-1,2-dichloroethene</t>
  </si>
  <si>
    <t>1,2-dichloropropane</t>
  </si>
  <si>
    <t>1,3-dichlobenzene</t>
  </si>
  <si>
    <t>1,4-dichlorobenzene</t>
  </si>
  <si>
    <t>2-chloroethylvinyl ether</t>
  </si>
  <si>
    <t>cis-1,3-dichloropropene</t>
  </si>
  <si>
    <t>acrolein</t>
  </si>
  <si>
    <t>trans-1,3-dichloropropene</t>
  </si>
  <si>
    <t>acrylonitrile</t>
  </si>
  <si>
    <t>benzene</t>
  </si>
  <si>
    <t>bromodichloromethane</t>
  </si>
  <si>
    <t>bromoform</t>
  </si>
  <si>
    <t>bromomethane</t>
  </si>
  <si>
    <t>carbon tetrachloride</t>
  </si>
  <si>
    <t>chlorobenzene</t>
  </si>
  <si>
    <t>chloroethane</t>
  </si>
  <si>
    <t>chloroform</t>
  </si>
  <si>
    <t>chloromethane</t>
  </si>
  <si>
    <t>dibromochloromethane</t>
  </si>
  <si>
    <t>ethylbenzene</t>
  </si>
  <si>
    <t>freon 113</t>
  </si>
  <si>
    <t>Methylene chloride</t>
  </si>
  <si>
    <t>methylene chloride</t>
  </si>
  <si>
    <t>MTBE</t>
  </si>
  <si>
    <t>styrene</t>
  </si>
  <si>
    <t>tetrachloroethene</t>
  </si>
  <si>
    <t>toluene</t>
  </si>
  <si>
    <t>total xylenes</t>
  </si>
  <si>
    <t>trans-1,2-dichloroethene</t>
  </si>
  <si>
    <t>trichloroethene</t>
  </si>
  <si>
    <t>Feron 113</t>
  </si>
  <si>
    <t>trichlorofluoromethane</t>
  </si>
  <si>
    <t>vinyl chloride</t>
  </si>
  <si>
    <t>m,p-Xylene</t>
  </si>
  <si>
    <t>0-Xylene</t>
  </si>
  <si>
    <t>total solids</t>
  </si>
  <si>
    <t>EPA 160.3</t>
  </si>
  <si>
    <t>salinity(downstream)</t>
  </si>
  <si>
    <t>SM 2520</t>
  </si>
  <si>
    <t>hardness (downstream)</t>
  </si>
  <si>
    <t>EPA 130.2</t>
  </si>
  <si>
    <t>silver</t>
  </si>
  <si>
    <t>Total Metals EPA 6020</t>
  </si>
  <si>
    <t>arsenic</t>
  </si>
  <si>
    <t>beryllium</t>
  </si>
  <si>
    <t>cadmium</t>
  </si>
  <si>
    <t>chromium (VI)</t>
  </si>
  <si>
    <t>chromium</t>
  </si>
  <si>
    <t>copper</t>
  </si>
  <si>
    <t>nickel</t>
  </si>
  <si>
    <t>lead</t>
  </si>
  <si>
    <t>antimony</t>
  </si>
  <si>
    <t>thallium</t>
  </si>
  <si>
    <t>zinc</t>
  </si>
  <si>
    <t>PCBs EPA 8082</t>
  </si>
  <si>
    <t>PCB-1268</t>
  </si>
  <si>
    <t>acenaphthene</t>
  </si>
  <si>
    <t>PAH EPA 610</t>
  </si>
  <si>
    <t>acenaphthylene</t>
  </si>
  <si>
    <t>anthracene</t>
  </si>
  <si>
    <t>benzo(a)anthracene</t>
  </si>
  <si>
    <t>benzo(b)fluoranthene</t>
  </si>
  <si>
    <t>Benzo(g,h,i)perylene</t>
  </si>
  <si>
    <t>Banzo(a)pyrene</t>
  </si>
  <si>
    <t>chrysene</t>
  </si>
  <si>
    <t>dibenzo(a,h)anthracene</t>
  </si>
  <si>
    <t>fluoranthene</t>
  </si>
  <si>
    <t>fluorene</t>
  </si>
  <si>
    <t>indeno(1,2,3-cd)pyrene</t>
  </si>
  <si>
    <t>pyrene</t>
  </si>
  <si>
    <t>cyanide</t>
  </si>
  <si>
    <t>mercury</t>
  </si>
  <si>
    <t>pesticides</t>
  </si>
  <si>
    <t>a-hexachloro-cyclohexane</t>
  </si>
  <si>
    <t>aldrin</t>
  </si>
  <si>
    <t>endosulfan II</t>
  </si>
  <si>
    <t>b-hexachloro-cyclohexane</t>
  </si>
  <si>
    <t>chlordane</t>
  </si>
  <si>
    <t>d-hexachloro-cyclohexane</t>
  </si>
  <si>
    <t>dieldrin</t>
  </si>
  <si>
    <t>endosulfan sulfate</t>
  </si>
  <si>
    <t>endrin</t>
  </si>
  <si>
    <t>endrin aldehyde</t>
  </si>
  <si>
    <t>heptachlor</t>
  </si>
  <si>
    <t>heptachlor epoxide</t>
  </si>
  <si>
    <t>lindane</t>
  </si>
  <si>
    <t>1,2-diphenylhydrazine</t>
  </si>
  <si>
    <t>1,2-diphenlhydrazine</t>
  </si>
  <si>
    <t>2-chlorophenol</t>
  </si>
  <si>
    <t>2,4-dichlorophenol</t>
  </si>
  <si>
    <t>2,4-dimethylpnenol</t>
  </si>
  <si>
    <t>2,4-dinitrophenol</t>
  </si>
  <si>
    <t>2,4-dinitrotoluene</t>
  </si>
  <si>
    <t>2,4,6-trichlorophenol</t>
  </si>
  <si>
    <t>2,6-dinitrotoluene</t>
  </si>
  <si>
    <t>2-nitrophenol</t>
  </si>
  <si>
    <t>2-chloronaphthalene</t>
  </si>
  <si>
    <t>3,3-dichlorobenzidine</t>
  </si>
  <si>
    <t>4-chloro-3-methylphenol</t>
  </si>
  <si>
    <t>4,6-dinitro-2-methylphenol</t>
  </si>
  <si>
    <t>4-nitrophenol</t>
  </si>
  <si>
    <t>4-bromophenyl-phenyl ether</t>
  </si>
  <si>
    <t>4-chlorophenyl-phenylether</t>
  </si>
  <si>
    <t>alachlor</t>
  </si>
  <si>
    <t>benzidine</t>
  </si>
  <si>
    <t>bis(2-chloroethyoxy)methane</t>
  </si>
  <si>
    <t>bis(2-chloroethyl)ether</t>
  </si>
  <si>
    <t>bis(2-chloroisopropyl)ether</t>
  </si>
  <si>
    <t>bis(2-ethylhexyl)phthalate</t>
  </si>
  <si>
    <t>2 (DNQ)</t>
  </si>
  <si>
    <t>butylbenzylphthalate</t>
  </si>
  <si>
    <t>di-n-butylphthalate</t>
  </si>
  <si>
    <t>di-n-octylphthalate</t>
  </si>
  <si>
    <t>di-n-octlphthalate</t>
  </si>
  <si>
    <t>diethylphthalate</t>
  </si>
  <si>
    <t>Dimethylphthalate</t>
  </si>
  <si>
    <t>hexachlorobenzene</t>
  </si>
  <si>
    <t>hexachlorobutadiene</t>
  </si>
  <si>
    <t>hexachloroethane</t>
  </si>
  <si>
    <t>hexachlorocyclopenadiene</t>
  </si>
  <si>
    <t>hexachlorocylopenadiene</t>
  </si>
  <si>
    <t>isophorone</t>
  </si>
  <si>
    <t>isophoroene</t>
  </si>
  <si>
    <t>n-nitrosodiphenylamine</t>
  </si>
  <si>
    <t>n-nitrosodimethylamine</t>
  </si>
  <si>
    <t>n-nitroso-di-n-propylamine</t>
  </si>
  <si>
    <t>nitrobenzene</t>
  </si>
  <si>
    <t>pentachlorophenol</t>
  </si>
  <si>
    <t>phenol</t>
  </si>
  <si>
    <t>di(2-ethylhexyl)adipate</t>
  </si>
  <si>
    <t>2,3,7,8-TCDF</t>
  </si>
  <si>
    <t>ng/L</t>
  </si>
  <si>
    <t>1,2,3,7,8-PeCDF</t>
  </si>
  <si>
    <t>2,3,4,7,8-PeCDF</t>
  </si>
  <si>
    <t>1,2,3,7,8-PeCDD</t>
  </si>
  <si>
    <t>1,2,3,4,7,8-HxCDF</t>
  </si>
  <si>
    <t>1,2,3,6,7,8-HxCDF</t>
  </si>
  <si>
    <t>2,3,4,6,7,8-HxCDF</t>
  </si>
  <si>
    <t>1,2,3,7,8,9-HxCDF</t>
  </si>
  <si>
    <t>1,2,3,4,7,8-HxCDD</t>
  </si>
  <si>
    <t>1,2,3,5,7,8-HxCDD</t>
  </si>
  <si>
    <t>1,2,3,6,7,8-HxCDD</t>
  </si>
  <si>
    <t>1,2,3,7,8,9-HxCDD</t>
  </si>
  <si>
    <t>1,2,3,4,6,7,8-HpCDF</t>
  </si>
  <si>
    <t>1,2,3,4,7,8,9-HpCDF</t>
  </si>
  <si>
    <t>1,2,3,4,6,7,8-HpCDD</t>
  </si>
  <si>
    <t>OCDF</t>
  </si>
  <si>
    <t>OCDD</t>
  </si>
  <si>
    <t>CTR No.</t>
  </si>
  <si>
    <t>No</t>
  </si>
  <si>
    <t>TEQ Factor</t>
  </si>
  <si>
    <t>Dioxin TEQ</t>
  </si>
  <si>
    <t>Dioxin TEQ (ng/L) =</t>
  </si>
  <si>
    <t>Dioxin TEQ (ug/L) =</t>
  </si>
  <si>
    <t>(DNQ, estimate)</t>
  </si>
  <si>
    <t>Dioxin TEQ (pg/L) =</t>
  </si>
  <si>
    <t>EPA 1613</t>
  </si>
  <si>
    <t>1.68E10-6</t>
  </si>
  <si>
    <t>3/7/02 Downstream (from Bottling Group's (aka Pepsi) data, downstream)</t>
  </si>
  <si>
    <t>10/29/2002 Downstream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</si>
</sst>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0.000000000"/>
    <numFmt numFmtId="169" formatCode="#,##0.000000000"/>
    <numFmt numFmtId="170" formatCode="0.00000"/>
    <numFmt numFmtId="171" formatCode="#,##0.00000"/>
    <numFmt numFmtId="172" formatCode="#,##0.0000"/>
    <numFmt numFmtId="173" formatCode="0.0000"/>
    <numFmt numFmtId="174" formatCode="0.000E+00"/>
    <numFmt numFmtId="175" formatCode="0.0E+00"/>
    <numFmt numFmtId="176" formatCode="0.000000"/>
    <numFmt numFmtId="177" formatCode="[$-409]dddd\,\ mmmm\ dd\,\ yyyy"/>
    <numFmt numFmtId="178" formatCode="dd\-mmm\-yy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/dd/yy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i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4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23"/>
      <name val="Arial"/>
      <family val="2"/>
    </font>
    <font>
      <sz val="10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0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hair"/>
    </border>
    <border>
      <left style="double"/>
      <right style="double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3" fillId="2" borderId="1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25" fillId="0" borderId="0" applyBorder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5" fontId="11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73" fontId="0" fillId="0" borderId="0" xfId="0" applyNumberFormat="1" applyAlignment="1">
      <alignment/>
    </xf>
    <xf numFmtId="0" fontId="17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73" fontId="11" fillId="0" borderId="15" xfId="0" applyNumberFormat="1" applyFont="1" applyFill="1" applyBorder="1" applyAlignment="1">
      <alignment horizontal="center" wrapText="1"/>
    </xf>
    <xf numFmtId="173" fontId="11" fillId="0" borderId="18" xfId="0" applyNumberFormat="1" applyFont="1" applyFill="1" applyBorder="1" applyAlignment="1">
      <alignment horizontal="center" wrapText="1"/>
    </xf>
    <xf numFmtId="173" fontId="11" fillId="0" borderId="19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3" fontId="11" fillId="0" borderId="22" xfId="0" applyNumberFormat="1" applyFont="1" applyFill="1" applyBorder="1" applyAlignment="1">
      <alignment horizontal="center" wrapText="1"/>
    </xf>
    <xf numFmtId="173" fontId="11" fillId="0" borderId="24" xfId="0" applyNumberFormat="1" applyFont="1" applyFill="1" applyBorder="1" applyAlignment="1">
      <alignment horizontal="center" wrapText="1"/>
    </xf>
    <xf numFmtId="173" fontId="11" fillId="0" borderId="25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26" xfId="0" applyBorder="1" applyAlignment="1">
      <alignment/>
    </xf>
    <xf numFmtId="173" fontId="0" fillId="0" borderId="26" xfId="0" applyNumberFormat="1" applyBorder="1" applyAlignment="1">
      <alignment/>
    </xf>
    <xf numFmtId="173" fontId="0" fillId="0" borderId="27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173" fontId="0" fillId="0" borderId="5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11" fillId="0" borderId="5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 quotePrefix="1">
      <alignment/>
    </xf>
    <xf numFmtId="49" fontId="11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" fontId="11" fillId="0" borderId="8" xfId="0" applyNumberFormat="1" applyFon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left"/>
    </xf>
    <xf numFmtId="165" fontId="11" fillId="0" borderId="7" xfId="0" applyNumberFormat="1" applyFont="1" applyBorder="1" applyAlignment="1">
      <alignment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11" fillId="0" borderId="35" xfId="0" applyFont="1" applyBorder="1" applyAlignment="1">
      <alignment wrapText="1"/>
    </xf>
    <xf numFmtId="1" fontId="16" fillId="0" borderId="36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64" fontId="16" fillId="0" borderId="36" xfId="0" applyNumberFormat="1" applyFont="1" applyBorder="1" applyAlignment="1">
      <alignment wrapText="1"/>
    </xf>
    <xf numFmtId="164" fontId="11" fillId="0" borderId="36" xfId="0" applyNumberFormat="1" applyFont="1" applyBorder="1" applyAlignment="1">
      <alignment wrapText="1"/>
    </xf>
    <xf numFmtId="1" fontId="16" fillId="0" borderId="36" xfId="0" applyNumberFormat="1" applyFont="1" applyBorder="1" applyAlignment="1">
      <alignment wrapText="1"/>
    </xf>
    <xf numFmtId="0" fontId="11" fillId="0" borderId="36" xfId="0" applyFont="1" applyBorder="1" applyAlignment="1">
      <alignment wrapText="1"/>
    </xf>
    <xf numFmtId="1" fontId="11" fillId="0" borderId="36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2" fontId="11" fillId="0" borderId="36" xfId="0" applyNumberFormat="1" applyFont="1" applyBorder="1" applyAlignment="1">
      <alignment/>
    </xf>
    <xf numFmtId="170" fontId="11" fillId="0" borderId="36" xfId="0" applyNumberFormat="1" applyFont="1" applyBorder="1" applyAlignment="1">
      <alignment/>
    </xf>
    <xf numFmtId="1" fontId="11" fillId="0" borderId="37" xfId="0" applyNumberFormat="1" applyFont="1" applyBorder="1" applyAlignment="1">
      <alignment horizontal="right" wrapText="1"/>
    </xf>
    <xf numFmtId="0" fontId="11" fillId="0" borderId="38" xfId="0" applyFont="1" applyBorder="1" applyAlignment="1">
      <alignment/>
    </xf>
    <xf numFmtId="1" fontId="11" fillId="0" borderId="39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1" fontId="11" fillId="0" borderId="39" xfId="0" applyNumberFormat="1" applyFont="1" applyBorder="1" applyAlignment="1">
      <alignment horizontal="right" wrapText="1"/>
    </xf>
    <xf numFmtId="0" fontId="11" fillId="0" borderId="6" xfId="0" applyFont="1" applyBorder="1" applyAlignment="1">
      <alignment/>
    </xf>
    <xf numFmtId="0" fontId="11" fillId="0" borderId="6" xfId="0" applyFont="1" applyFill="1" applyBorder="1" applyAlignment="1">
      <alignment/>
    </xf>
    <xf numFmtId="1" fontId="18" fillId="0" borderId="39" xfId="0" applyNumberFormat="1" applyFont="1" applyBorder="1" applyAlignment="1">
      <alignment horizontal="right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0" xfId="0" applyFont="1" applyBorder="1" applyAlignment="1">
      <alignment horizontal="left" wrapText="1"/>
    </xf>
    <xf numFmtId="0" fontId="8" fillId="0" borderId="41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5" xfId="0" applyFont="1" applyBorder="1" applyAlignment="1">
      <alignment/>
    </xf>
    <xf numFmtId="1" fontId="11" fillId="0" borderId="6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  <xf numFmtId="0" fontId="11" fillId="0" borderId="5" xfId="0" applyFont="1" applyFill="1" applyBorder="1" applyAlignment="1">
      <alignment/>
    </xf>
    <xf numFmtId="1" fontId="11" fillId="0" borderId="6" xfId="0" applyNumberFormat="1" applyFont="1" applyBorder="1" applyAlignment="1">
      <alignment/>
    </xf>
    <xf numFmtId="0" fontId="8" fillId="0" borderId="5" xfId="0" applyFont="1" applyBorder="1" applyAlignment="1">
      <alignment/>
    </xf>
    <xf numFmtId="1" fontId="11" fillId="0" borderId="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1" fontId="11" fillId="0" borderId="6" xfId="0" applyNumberFormat="1" applyFont="1" applyFill="1" applyBorder="1" applyAlignment="1">
      <alignment/>
    </xf>
    <xf numFmtId="0" fontId="18" fillId="0" borderId="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7" xfId="0" applyFont="1" applyBorder="1" applyAlignment="1">
      <alignment/>
    </xf>
    <xf numFmtId="164" fontId="11" fillId="0" borderId="5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" fontId="11" fillId="0" borderId="8" xfId="0" applyNumberFormat="1" applyFont="1" applyBorder="1" applyAlignment="1">
      <alignment/>
    </xf>
    <xf numFmtId="165" fontId="11" fillId="0" borderId="5" xfId="0" applyNumberFormat="1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8" fillId="0" borderId="5" xfId="0" applyFont="1" applyBorder="1" applyAlignment="1">
      <alignment/>
    </xf>
    <xf numFmtId="0" fontId="18" fillId="0" borderId="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/>
    </xf>
    <xf numFmtId="0" fontId="11" fillId="0" borderId="27" xfId="0" applyFont="1" applyBorder="1" applyAlignment="1">
      <alignment wrapText="1"/>
    </xf>
    <xf numFmtId="3" fontId="11" fillId="0" borderId="8" xfId="0" applyNumberFormat="1" applyFont="1" applyBorder="1" applyAlignment="1">
      <alignment/>
    </xf>
    <xf numFmtId="164" fontId="11" fillId="0" borderId="36" xfId="0" applyNumberFormat="1" applyFont="1" applyBorder="1" applyAlignment="1">
      <alignment/>
    </xf>
    <xf numFmtId="164" fontId="11" fillId="0" borderId="36" xfId="0" applyNumberFormat="1" applyFont="1" applyBorder="1" applyAlignment="1">
      <alignment/>
    </xf>
    <xf numFmtId="3" fontId="11" fillId="0" borderId="8" xfId="0" applyNumberFormat="1" applyFont="1" applyBorder="1" applyAlignment="1">
      <alignment wrapText="1"/>
    </xf>
    <xf numFmtId="1" fontId="11" fillId="0" borderId="36" xfId="0" applyNumberFormat="1" applyFont="1" applyBorder="1" applyAlignment="1">
      <alignment/>
    </xf>
    <xf numFmtId="0" fontId="11" fillId="0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1" fontId="11" fillId="0" borderId="8" xfId="0" applyNumberFormat="1" applyFont="1" applyBorder="1" applyAlignment="1">
      <alignment wrapText="1"/>
    </xf>
    <xf numFmtId="165" fontId="11" fillId="0" borderId="36" xfId="0" applyNumberFormat="1" applyFont="1" applyBorder="1" applyAlignment="1">
      <alignment/>
    </xf>
    <xf numFmtId="164" fontId="11" fillId="0" borderId="8" xfId="0" applyNumberFormat="1" applyFont="1" applyBorder="1" applyAlignment="1">
      <alignment wrapText="1"/>
    </xf>
    <xf numFmtId="0" fontId="18" fillId="0" borderId="36" xfId="0" applyFont="1" applyBorder="1" applyAlignment="1">
      <alignment/>
    </xf>
    <xf numFmtId="165" fontId="11" fillId="0" borderId="17" xfId="0" applyNumberFormat="1" applyFont="1" applyBorder="1" applyAlignment="1">
      <alignment/>
    </xf>
    <xf numFmtId="0" fontId="11" fillId="0" borderId="26" xfId="0" applyFont="1" applyBorder="1" applyAlignment="1">
      <alignment wrapText="1"/>
    </xf>
    <xf numFmtId="1" fontId="16" fillId="0" borderId="8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1" fontId="11" fillId="0" borderId="5" xfId="0" applyNumberFormat="1" applyFont="1" applyBorder="1" applyAlignment="1">
      <alignment wrapText="1"/>
    </xf>
    <xf numFmtId="2" fontId="11" fillId="0" borderId="5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11" fillId="0" borderId="43" xfId="0" applyFont="1" applyBorder="1" applyAlignment="1">
      <alignment wrapText="1"/>
    </xf>
    <xf numFmtId="0" fontId="11" fillId="0" borderId="17" xfId="0" applyFont="1" applyBorder="1" applyAlignment="1">
      <alignment/>
    </xf>
    <xf numFmtId="0" fontId="11" fillId="0" borderId="44" xfId="0" applyFont="1" applyBorder="1" applyAlignment="1">
      <alignment wrapText="1"/>
    </xf>
    <xf numFmtId="0" fontId="11" fillId="0" borderId="16" xfId="0" applyFont="1" applyBorder="1" applyAlignment="1">
      <alignment/>
    </xf>
    <xf numFmtId="0" fontId="4" fillId="3" borderId="2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7" xfId="0" applyFont="1" applyBorder="1" applyAlignment="1">
      <alignment/>
    </xf>
    <xf numFmtId="0" fontId="19" fillId="0" borderId="5" xfId="0" applyFont="1" applyBorder="1" applyAlignment="1">
      <alignment/>
    </xf>
    <xf numFmtId="0" fontId="11" fillId="0" borderId="9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2" fontId="19" fillId="0" borderId="8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9" xfId="0" applyFont="1" applyBorder="1" applyAlignment="1">
      <alignment/>
    </xf>
    <xf numFmtId="164" fontId="19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2" fontId="0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9" xfId="0" applyFont="1" applyBorder="1" applyAlignment="1">
      <alignment/>
    </xf>
    <xf numFmtId="1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" fontId="20" fillId="0" borderId="50" xfId="0" applyNumberFormat="1" applyFont="1" applyBorder="1" applyAlignment="1">
      <alignment/>
    </xf>
    <xf numFmtId="164" fontId="20" fillId="0" borderId="50" xfId="0" applyNumberFormat="1" applyFont="1" applyBorder="1" applyAlignment="1">
      <alignment/>
    </xf>
    <xf numFmtId="1" fontId="20" fillId="0" borderId="5" xfId="0" applyNumberFormat="1" applyFont="1" applyBorder="1" applyAlignment="1">
      <alignment/>
    </xf>
    <xf numFmtId="1" fontId="20" fillId="0" borderId="8" xfId="0" applyNumberFormat="1" applyFont="1" applyBorder="1" applyAlignment="1">
      <alignment/>
    </xf>
    <xf numFmtId="1" fontId="20" fillId="0" borderId="36" xfId="0" applyNumberFormat="1" applyFont="1" applyBorder="1" applyAlignment="1">
      <alignment/>
    </xf>
    <xf numFmtId="164" fontId="20" fillId="0" borderId="8" xfId="0" applyNumberFormat="1" applyFont="1" applyBorder="1" applyAlignment="1">
      <alignment wrapText="1"/>
    </xf>
    <xf numFmtId="164" fontId="20" fillId="0" borderId="5" xfId="0" applyNumberFormat="1" applyFont="1" applyBorder="1" applyAlignment="1">
      <alignment wrapText="1"/>
    </xf>
    <xf numFmtId="1" fontId="20" fillId="0" borderId="36" xfId="0" applyNumberFormat="1" applyFont="1" applyBorder="1" applyAlignment="1">
      <alignment wrapText="1"/>
    </xf>
    <xf numFmtId="1" fontId="20" fillId="0" borderId="5" xfId="0" applyNumberFormat="1" applyFont="1" applyBorder="1" applyAlignment="1">
      <alignment wrapText="1"/>
    </xf>
    <xf numFmtId="1" fontId="20" fillId="0" borderId="8" xfId="0" applyNumberFormat="1" applyFont="1" applyBorder="1" applyAlignment="1">
      <alignment wrapText="1"/>
    </xf>
    <xf numFmtId="3" fontId="20" fillId="0" borderId="36" xfId="0" applyNumberFormat="1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8" xfId="0" applyFont="1" applyBorder="1" applyAlignment="1">
      <alignment wrapText="1"/>
    </xf>
    <xf numFmtId="164" fontId="20" fillId="0" borderId="36" xfId="0" applyNumberFormat="1" applyFont="1" applyBorder="1" applyAlignment="1">
      <alignment wrapText="1"/>
    </xf>
    <xf numFmtId="1" fontId="20" fillId="0" borderId="5" xfId="0" applyNumberFormat="1" applyFont="1" applyBorder="1" applyAlignment="1">
      <alignment/>
    </xf>
    <xf numFmtId="1" fontId="20" fillId="0" borderId="8" xfId="0" applyNumberFormat="1" applyFont="1" applyBorder="1" applyAlignment="1">
      <alignment/>
    </xf>
    <xf numFmtId="1" fontId="20" fillId="0" borderId="50" xfId="0" applyNumberFormat="1" applyFont="1" applyBorder="1" applyAlignment="1">
      <alignment/>
    </xf>
    <xf numFmtId="164" fontId="20" fillId="0" borderId="50" xfId="0" applyNumberFormat="1" applyFont="1" applyBorder="1" applyAlignment="1">
      <alignment/>
    </xf>
    <xf numFmtId="0" fontId="20" fillId="0" borderId="50" xfId="0" applyNumberFormat="1" applyFont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20" fillId="0" borderId="51" xfId="0" applyNumberFormat="1" applyFont="1" applyBorder="1" applyAlignment="1">
      <alignment/>
    </xf>
    <xf numFmtId="0" fontId="20" fillId="0" borderId="50" xfId="0" applyNumberFormat="1" applyFont="1" applyBorder="1" applyAlignment="1">
      <alignment/>
    </xf>
    <xf numFmtId="0" fontId="20" fillId="0" borderId="50" xfId="0" applyNumberFormat="1" applyFont="1" applyBorder="1" applyAlignment="1">
      <alignment horizontal="right"/>
    </xf>
    <xf numFmtId="0" fontId="20" fillId="0" borderId="50" xfId="0" applyNumberFormat="1" applyFont="1" applyBorder="1" applyAlignment="1">
      <alignment horizontal="center"/>
    </xf>
    <xf numFmtId="0" fontId="20" fillId="0" borderId="5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2" fontId="20" fillId="0" borderId="50" xfId="0" applyNumberFormat="1" applyFont="1" applyBorder="1" applyAlignment="1">
      <alignment/>
    </xf>
    <xf numFmtId="2" fontId="0" fillId="0" borderId="6" xfId="0" applyNumberFormat="1" applyBorder="1" applyAlignment="1">
      <alignment horizontal="left"/>
    </xf>
    <xf numFmtId="2" fontId="0" fillId="0" borderId="5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3" borderId="53" xfId="0" applyNumberFormat="1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center" wrapText="1"/>
    </xf>
    <xf numFmtId="0" fontId="0" fillId="0" borderId="5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3" fontId="11" fillId="0" borderId="7" xfId="0" applyNumberFormat="1" applyFont="1" applyBorder="1" applyAlignment="1">
      <alignment wrapText="1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wrapText="1"/>
    </xf>
    <xf numFmtId="1" fontId="11" fillId="0" borderId="7" xfId="0" applyNumberFormat="1" applyFont="1" applyBorder="1" applyAlignment="1">
      <alignment wrapText="1"/>
    </xf>
    <xf numFmtId="165" fontId="11" fillId="0" borderId="7" xfId="0" applyNumberFormat="1" applyFont="1" applyBorder="1" applyAlignment="1">
      <alignment wrapText="1"/>
    </xf>
    <xf numFmtId="164" fontId="11" fillId="0" borderId="7" xfId="0" applyNumberFormat="1" applyFont="1" applyBorder="1" applyAlignment="1">
      <alignment wrapText="1"/>
    </xf>
    <xf numFmtId="168" fontId="11" fillId="0" borderId="7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170" fontId="1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1" fontId="24" fillId="0" borderId="56" xfId="0" applyNumberFormat="1" applyFont="1" applyBorder="1" applyAlignment="1">
      <alignment horizontal="center"/>
    </xf>
    <xf numFmtId="164" fontId="24" fillId="0" borderId="56" xfId="0" applyNumberFormat="1" applyFont="1" applyBorder="1" applyAlignment="1">
      <alignment horizontal="center"/>
    </xf>
    <xf numFmtId="0" fontId="24" fillId="0" borderId="57" xfId="24" applyFont="1" applyBorder="1" applyAlignment="1">
      <alignment horizontal="center"/>
      <protection/>
    </xf>
    <xf numFmtId="0" fontId="24" fillId="0" borderId="56" xfId="24" applyFont="1" applyBorder="1">
      <alignment/>
      <protection/>
    </xf>
    <xf numFmtId="178" fontId="24" fillId="0" borderId="56" xfId="24" applyNumberFormat="1" applyFont="1" applyBorder="1">
      <alignment/>
      <protection/>
    </xf>
    <xf numFmtId="173" fontId="24" fillId="0" borderId="56" xfId="24" applyNumberFormat="1" applyFont="1" applyBorder="1" applyAlignment="1">
      <alignment horizontal="left"/>
      <protection/>
    </xf>
    <xf numFmtId="0" fontId="24" fillId="0" borderId="56" xfId="24" applyFont="1" applyFill="1" applyBorder="1">
      <alignment/>
      <protection/>
    </xf>
    <xf numFmtId="178" fontId="24" fillId="0" borderId="56" xfId="24" applyNumberFormat="1" applyFont="1" applyFill="1" applyBorder="1">
      <alignment/>
      <protection/>
    </xf>
    <xf numFmtId="173" fontId="24" fillId="0" borderId="56" xfId="24" applyNumberFormat="1" applyFont="1" applyFill="1" applyBorder="1" applyAlignment="1">
      <alignment horizontal="left"/>
      <protection/>
    </xf>
    <xf numFmtId="176" fontId="24" fillId="0" borderId="56" xfId="24" applyNumberFormat="1" applyFont="1" applyFill="1" applyBorder="1" applyAlignment="1">
      <alignment horizontal="left"/>
      <protection/>
    </xf>
    <xf numFmtId="0" fontId="24" fillId="0" borderId="0" xfId="24" applyFont="1">
      <alignment/>
      <protection/>
    </xf>
    <xf numFmtId="165" fontId="24" fillId="0" borderId="56" xfId="24" applyNumberFormat="1" applyFont="1" applyFill="1" applyBorder="1" applyAlignment="1">
      <alignment horizontal="left"/>
      <protection/>
    </xf>
    <xf numFmtId="2" fontId="24" fillId="0" borderId="56" xfId="24" applyNumberFormat="1" applyFont="1" applyFill="1" applyBorder="1" applyAlignment="1">
      <alignment horizontal="left"/>
      <protection/>
    </xf>
    <xf numFmtId="164" fontId="24" fillId="0" borderId="56" xfId="24" applyNumberFormat="1" applyFont="1" applyBorder="1" applyAlignment="1">
      <alignment horizontal="left"/>
      <protection/>
    </xf>
    <xf numFmtId="2" fontId="24" fillId="0" borderId="56" xfId="24" applyNumberFormat="1" applyFont="1" applyBorder="1" applyAlignment="1">
      <alignment horizontal="left"/>
      <protection/>
    </xf>
    <xf numFmtId="1" fontId="24" fillId="0" borderId="56" xfId="24" applyNumberFormat="1" applyFont="1" applyBorder="1" applyAlignment="1">
      <alignment horizontal="left"/>
      <protection/>
    </xf>
    <xf numFmtId="165" fontId="24" fillId="0" borderId="56" xfId="24" applyNumberFormat="1" applyFont="1" applyBorder="1" applyAlignment="1">
      <alignment horizontal="left"/>
      <protection/>
    </xf>
    <xf numFmtId="173" fontId="24" fillId="0" borderId="56" xfId="24" applyNumberFormat="1" applyFont="1" applyBorder="1">
      <alignment/>
      <protection/>
    </xf>
    <xf numFmtId="0" fontId="27" fillId="0" borderId="56" xfId="24" applyFont="1" applyBorder="1">
      <alignment/>
      <protection/>
    </xf>
    <xf numFmtId="1" fontId="24" fillId="0" borderId="56" xfId="24" applyNumberFormat="1" applyFont="1" applyFill="1" applyBorder="1" applyAlignment="1">
      <alignment horizontal="left"/>
      <protection/>
    </xf>
    <xf numFmtId="0" fontId="24" fillId="0" borderId="58" xfId="24" applyFont="1" applyBorder="1" applyAlignment="1">
      <alignment horizontal="left"/>
      <protection/>
    </xf>
    <xf numFmtId="2" fontId="24" fillId="0" borderId="0" xfId="24" applyNumberFormat="1" applyFont="1">
      <alignment/>
      <protection/>
    </xf>
    <xf numFmtId="0" fontId="24" fillId="0" borderId="56" xfId="24" applyFont="1" applyBorder="1" applyAlignment="1">
      <alignment horizontal="center"/>
      <protection/>
    </xf>
    <xf numFmtId="0" fontId="24" fillId="0" borderId="0" xfId="24" applyFont="1" applyAlignment="1">
      <alignment horizontal="center"/>
      <protection/>
    </xf>
    <xf numFmtId="0" fontId="26" fillId="0" borderId="57" xfId="24" applyFont="1" applyBorder="1" applyAlignment="1">
      <alignment horizontal="center"/>
      <protection/>
    </xf>
    <xf numFmtId="22" fontId="24" fillId="0" borderId="56" xfId="24" applyNumberFormat="1" applyFont="1" applyBorder="1" applyAlignment="1">
      <alignment horizontal="center"/>
      <protection/>
    </xf>
    <xf numFmtId="178" fontId="24" fillId="0" borderId="56" xfId="24" applyNumberFormat="1" applyFont="1" applyFill="1" applyBorder="1" applyAlignment="1">
      <alignment horizontal="center"/>
      <protection/>
    </xf>
    <xf numFmtId="178" fontId="24" fillId="0" borderId="56" xfId="24" applyNumberFormat="1" applyFont="1" applyBorder="1" applyAlignment="1">
      <alignment horizontal="center"/>
      <protection/>
    </xf>
    <xf numFmtId="0" fontId="24" fillId="0" borderId="0" xfId="24" applyNumberFormat="1" applyFont="1" applyAlignment="1">
      <alignment horizontal="center"/>
      <protection/>
    </xf>
    <xf numFmtId="0" fontId="24" fillId="0" borderId="56" xfId="24" applyNumberFormat="1" applyFont="1" applyBorder="1" applyAlignment="1">
      <alignment horizontal="center"/>
      <protection/>
    </xf>
    <xf numFmtId="0" fontId="24" fillId="0" borderId="56" xfId="24" applyNumberFormat="1" applyFont="1" applyFill="1" applyBorder="1" applyAlignment="1">
      <alignment horizontal="center"/>
      <protection/>
    </xf>
    <xf numFmtId="0" fontId="24" fillId="0" borderId="57" xfId="24" applyFont="1" applyFill="1" applyBorder="1" applyAlignment="1">
      <alignment horizontal="center"/>
      <protection/>
    </xf>
    <xf numFmtId="0" fontId="24" fillId="0" borderId="56" xfId="24" applyFont="1" applyFill="1" applyBorder="1" applyAlignment="1">
      <alignment horizontal="center"/>
      <protection/>
    </xf>
    <xf numFmtId="22" fontId="24" fillId="0" borderId="56" xfId="24" applyNumberFormat="1" applyFont="1" applyFill="1" applyBorder="1" applyAlignment="1">
      <alignment horizontal="center"/>
      <protection/>
    </xf>
    <xf numFmtId="173" fontId="24" fillId="0" borderId="56" xfId="24" applyNumberFormat="1" applyFont="1" applyFill="1" applyBorder="1">
      <alignment/>
      <protection/>
    </xf>
    <xf numFmtId="0" fontId="24" fillId="0" borderId="58" xfId="24" applyFont="1" applyFill="1" applyBorder="1" applyAlignment="1">
      <alignment horizontal="left"/>
      <protection/>
    </xf>
    <xf numFmtId="0" fontId="24" fillId="0" borderId="0" xfId="24" applyFont="1" applyFill="1">
      <alignment/>
      <protection/>
    </xf>
    <xf numFmtId="2" fontId="24" fillId="0" borderId="59" xfId="24" applyNumberFormat="1" applyFont="1" applyBorder="1">
      <alignment/>
      <protection/>
    </xf>
    <xf numFmtId="170" fontId="24" fillId="0" borderId="59" xfId="24" applyNumberFormat="1" applyFont="1" applyBorder="1" applyAlignment="1">
      <alignment horizontal="left"/>
      <protection/>
    </xf>
    <xf numFmtId="170" fontId="24" fillId="0" borderId="59" xfId="24" applyNumberFormat="1" applyFont="1" applyFill="1" applyBorder="1" applyAlignment="1">
      <alignment horizontal="left"/>
      <protection/>
    </xf>
    <xf numFmtId="2" fontId="24" fillId="0" borderId="59" xfId="24" applyNumberFormat="1" applyFont="1" applyFill="1" applyBorder="1">
      <alignment/>
      <protection/>
    </xf>
    <xf numFmtId="2" fontId="24" fillId="0" borderId="59" xfId="24" applyNumberFormat="1" applyFont="1" applyBorder="1" applyAlignment="1">
      <alignment horizontal="center"/>
      <protection/>
    </xf>
    <xf numFmtId="2" fontId="24" fillId="0" borderId="59" xfId="24" applyNumberFormat="1" applyFont="1" applyFill="1" applyBorder="1" applyAlignment="1">
      <alignment horizontal="left"/>
      <protection/>
    </xf>
    <xf numFmtId="2" fontId="24" fillId="0" borderId="59" xfId="24" applyNumberFormat="1" applyFont="1" applyBorder="1" applyAlignment="1">
      <alignment horizontal="left"/>
      <protection/>
    </xf>
    <xf numFmtId="0" fontId="24" fillId="0" borderId="58" xfId="24" applyFont="1" applyBorder="1" applyAlignment="1">
      <alignment horizontal="center"/>
      <protection/>
    </xf>
    <xf numFmtId="0" fontId="24" fillId="0" borderId="56" xfId="24" applyFont="1" applyBorder="1" applyAlignment="1">
      <alignment horizontal="center" wrapText="1"/>
      <protection/>
    </xf>
    <xf numFmtId="0" fontId="24" fillId="0" borderId="58" xfId="24" applyFont="1" applyBorder="1" applyAlignment="1">
      <alignment horizontal="center" wrapText="1"/>
      <protection/>
    </xf>
    <xf numFmtId="166" fontId="24" fillId="0" borderId="56" xfId="24" applyNumberFormat="1" applyFont="1" applyBorder="1" applyAlignment="1">
      <alignment horizontal="center"/>
      <protection/>
    </xf>
    <xf numFmtId="166" fontId="24" fillId="0" borderId="58" xfId="24" applyNumberFormat="1" applyFont="1" applyBorder="1" applyAlignment="1">
      <alignment horizontal="center"/>
      <protection/>
    </xf>
    <xf numFmtId="3" fontId="24" fillId="0" borderId="56" xfId="16" applyNumberFormat="1" applyFont="1" applyBorder="1" applyAlignment="1">
      <alignment horizontal="center"/>
    </xf>
    <xf numFmtId="3" fontId="24" fillId="0" borderId="58" xfId="16" applyNumberFormat="1" applyFont="1" applyBorder="1" applyAlignment="1">
      <alignment horizontal="center"/>
    </xf>
    <xf numFmtId="0" fontId="24" fillId="0" borderId="58" xfId="24" applyFont="1" applyFill="1" applyBorder="1" applyAlignment="1">
      <alignment horizontal="center"/>
      <protection/>
    </xf>
    <xf numFmtId="15" fontId="24" fillId="0" borderId="56" xfId="24" applyNumberFormat="1" applyFont="1" applyBorder="1" applyAlignment="1">
      <alignment horizontal="center"/>
      <protection/>
    </xf>
    <xf numFmtId="0" fontId="24" fillId="0" borderId="60" xfId="24" applyFont="1" applyBorder="1" applyAlignment="1">
      <alignment horizontal="center"/>
      <protection/>
    </xf>
    <xf numFmtId="0" fontId="24" fillId="0" borderId="61" xfId="24" applyFont="1" applyBorder="1">
      <alignment/>
      <protection/>
    </xf>
    <xf numFmtId="0" fontId="24" fillId="0" borderId="61" xfId="24" applyFont="1" applyBorder="1" applyAlignment="1">
      <alignment horizontal="center"/>
      <protection/>
    </xf>
    <xf numFmtId="22" fontId="24" fillId="0" borderId="61" xfId="24" applyNumberFormat="1" applyFont="1" applyBorder="1" applyAlignment="1">
      <alignment horizontal="center"/>
      <protection/>
    </xf>
    <xf numFmtId="178" fontId="24" fillId="0" borderId="61" xfId="24" applyNumberFormat="1" applyFont="1" applyFill="1" applyBorder="1" applyAlignment="1">
      <alignment horizontal="center"/>
      <protection/>
    </xf>
    <xf numFmtId="178" fontId="24" fillId="0" borderId="61" xfId="24" applyNumberFormat="1" applyFont="1" applyBorder="1" applyAlignment="1">
      <alignment horizontal="center"/>
      <protection/>
    </xf>
    <xf numFmtId="0" fontId="24" fillId="0" borderId="61" xfId="24" applyNumberFormat="1" applyFont="1" applyBorder="1" applyAlignment="1">
      <alignment horizontal="center"/>
      <protection/>
    </xf>
    <xf numFmtId="0" fontId="24" fillId="0" borderId="62" xfId="2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0" fillId="5" borderId="4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7" fillId="3" borderId="64" xfId="0" applyFont="1" applyFill="1" applyBorder="1" applyAlignment="1">
      <alignment horizontal="center" wrapText="1"/>
    </xf>
    <xf numFmtId="0" fontId="7" fillId="5" borderId="65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0" fillId="3" borderId="66" xfId="0" applyFont="1" applyFill="1" applyBorder="1" applyAlignment="1">
      <alignment horizontal="center"/>
    </xf>
    <xf numFmtId="0" fontId="0" fillId="5" borderId="65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left" wrapText="1"/>
    </xf>
    <xf numFmtId="0" fontId="0" fillId="3" borderId="6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1" fontId="0" fillId="0" borderId="8" xfId="0" applyNumberFormat="1" applyFont="1" applyBorder="1" applyAlignment="1">
      <alignment horizontal="center"/>
    </xf>
    <xf numFmtId="11" fontId="4" fillId="0" borderId="8" xfId="0" applyNumberFormat="1" applyFont="1" applyFill="1" applyBorder="1" applyAlignment="1">
      <alignment horizontal="center"/>
    </xf>
    <xf numFmtId="11" fontId="0" fillId="0" borderId="27" xfId="0" applyNumberFormat="1" applyFont="1" applyFill="1" applyBorder="1" applyAlignment="1">
      <alignment horizontal="center"/>
    </xf>
    <xf numFmtId="0" fontId="28" fillId="0" borderId="8" xfId="25" applyFont="1" applyFill="1" applyBorder="1" applyAlignment="1">
      <alignment horizontal="center" wrapText="1"/>
      <protection/>
    </xf>
    <xf numFmtId="0" fontId="0" fillId="0" borderId="38" xfId="0" applyFont="1" applyFill="1" applyBorder="1" applyAlignment="1">
      <alignment horizontal="center"/>
    </xf>
    <xf numFmtId="0" fontId="0" fillId="5" borderId="65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4" xfId="0" applyNumberFormat="1" applyFont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28" fillId="0" borderId="49" xfId="25" applyFont="1" applyFill="1" applyBorder="1" applyAlignment="1">
      <alignment horizontal="center" wrapText="1"/>
      <protection/>
    </xf>
    <xf numFmtId="0" fontId="0" fillId="0" borderId="6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34" xfId="0" applyFont="1" applyFill="1" applyBorder="1" applyAlignment="1">
      <alignment horizontal="left"/>
    </xf>
    <xf numFmtId="0" fontId="30" fillId="0" borderId="27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29" fillId="0" borderId="18" xfId="0" applyFont="1" applyBorder="1" applyAlignment="1">
      <alignment horizontal="center" wrapText="1"/>
    </xf>
    <xf numFmtId="0" fontId="4" fillId="0" borderId="69" xfId="0" applyFont="1" applyBorder="1" applyAlignment="1">
      <alignment/>
    </xf>
    <xf numFmtId="0" fontId="7" fillId="0" borderId="70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3" borderId="71" xfId="0" applyFont="1" applyFill="1" applyBorder="1" applyAlignment="1">
      <alignment horizontal="left"/>
    </xf>
    <xf numFmtId="0" fontId="0" fillId="0" borderId="72" xfId="0" applyFont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0" fillId="0" borderId="73" xfId="0" applyFont="1" applyFill="1" applyBorder="1" applyAlignment="1">
      <alignment/>
    </xf>
    <xf numFmtId="0" fontId="0" fillId="0" borderId="73" xfId="0" applyFont="1" applyBorder="1" applyAlignment="1">
      <alignment/>
    </xf>
    <xf numFmtId="0" fontId="12" fillId="0" borderId="73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4" fillId="3" borderId="74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wrapText="1"/>
    </xf>
    <xf numFmtId="0" fontId="0" fillId="0" borderId="73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69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6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9" xfId="0" applyBorder="1" applyAlignment="1">
      <alignment/>
    </xf>
    <xf numFmtId="0" fontId="7" fillId="0" borderId="79" xfId="0" applyFont="1" applyBorder="1" applyAlignment="1">
      <alignment horizontal="center"/>
    </xf>
    <xf numFmtId="0" fontId="7" fillId="0" borderId="66" xfId="0" applyFont="1" applyBorder="1" applyAlignment="1">
      <alignment horizontal="center" wrapText="1"/>
    </xf>
    <xf numFmtId="0" fontId="0" fillId="0" borderId="38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0" fontId="4" fillId="0" borderId="80" xfId="0" applyFont="1" applyBorder="1" applyAlignment="1">
      <alignment/>
    </xf>
    <xf numFmtId="0" fontId="4" fillId="0" borderId="80" xfId="0" applyFont="1" applyFill="1" applyBorder="1" applyAlignment="1">
      <alignment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164" fontId="0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0" fillId="0" borderId="27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0" fillId="0" borderId="6" xfId="0" applyBorder="1" applyAlignment="1">
      <alignment/>
    </xf>
    <xf numFmtId="0" fontId="0" fillId="3" borderId="8" xfId="0" applyFill="1" applyBorder="1" applyAlignment="1">
      <alignment/>
    </xf>
    <xf numFmtId="0" fontId="4" fillId="7" borderId="8" xfId="0" applyFont="1" applyFill="1" applyBorder="1" applyAlignment="1">
      <alignment/>
    </xf>
    <xf numFmtId="0" fontId="17" fillId="0" borderId="8" xfId="0" applyFont="1" applyBorder="1" applyAlignment="1">
      <alignment/>
    </xf>
    <xf numFmtId="0" fontId="0" fillId="3" borderId="65" xfId="0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7" fillId="0" borderId="82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0" fontId="0" fillId="0" borderId="8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1" fontId="0" fillId="0" borderId="5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8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5" fillId="0" borderId="0" xfId="0" applyFont="1" applyAlignment="1" quotePrefix="1">
      <alignment/>
    </xf>
    <xf numFmtId="0" fontId="5" fillId="0" borderId="6" xfId="0" applyFont="1" applyFill="1" applyBorder="1" applyAlignment="1" quotePrefix="1">
      <alignment/>
    </xf>
    <xf numFmtId="0" fontId="26" fillId="8" borderId="84" xfId="24" applyFont="1" applyFill="1" applyBorder="1" applyAlignment="1">
      <alignment horizontal="left"/>
      <protection/>
    </xf>
    <xf numFmtId="0" fontId="26" fillId="0" borderId="57" xfId="24" applyFont="1" applyBorder="1" applyAlignment="1">
      <alignment horizontal="left"/>
      <protection/>
    </xf>
    <xf numFmtId="0" fontId="11" fillId="0" borderId="85" xfId="0" applyNumberFormat="1" applyFont="1" applyBorder="1" applyAlignment="1">
      <alignment horizontal="center"/>
    </xf>
    <xf numFmtId="0" fontId="33" fillId="8" borderId="86" xfId="24" applyFont="1" applyFill="1" applyBorder="1">
      <alignment/>
      <protection/>
    </xf>
    <xf numFmtId="0" fontId="33" fillId="8" borderId="86" xfId="24" applyFont="1" applyFill="1" applyBorder="1" applyAlignment="1">
      <alignment horizontal="center"/>
      <protection/>
    </xf>
    <xf numFmtId="0" fontId="33" fillId="8" borderId="86" xfId="24" applyNumberFormat="1" applyFont="1" applyFill="1" applyBorder="1" applyAlignment="1">
      <alignment horizontal="center"/>
      <protection/>
    </xf>
    <xf numFmtId="0" fontId="33" fillId="8" borderId="87" xfId="24" applyFont="1" applyFill="1" applyBorder="1" applyAlignment="1">
      <alignment horizontal="center"/>
      <protection/>
    </xf>
    <xf numFmtId="0" fontId="34" fillId="0" borderId="27" xfId="0" applyNumberFormat="1" applyFont="1" applyFill="1" applyBorder="1" applyAlignment="1">
      <alignment horizontal="center"/>
    </xf>
    <xf numFmtId="0" fontId="34" fillId="0" borderId="8" xfId="0" applyNumberFormat="1" applyFont="1" applyFill="1" applyBorder="1" applyAlignment="1">
      <alignment horizontal="center"/>
    </xf>
    <xf numFmtId="0" fontId="35" fillId="0" borderId="8" xfId="0" applyNumberFormat="1" applyFont="1" applyBorder="1" applyAlignment="1">
      <alignment horizontal="center"/>
    </xf>
    <xf numFmtId="0" fontId="34" fillId="0" borderId="8" xfId="0" applyNumberFormat="1" applyFont="1" applyFill="1" applyBorder="1" applyAlignment="1">
      <alignment horizontal="center" wrapText="1"/>
    </xf>
    <xf numFmtId="11" fontId="34" fillId="0" borderId="8" xfId="23" applyNumberFormat="1" applyFont="1" applyFill="1" applyBorder="1" applyAlignment="1">
      <alignment horizontal="center"/>
      <protection/>
    </xf>
    <xf numFmtId="0" fontId="36" fillId="0" borderId="8" xfId="25" applyNumberFormat="1" applyFont="1" applyFill="1" applyBorder="1" applyAlignment="1">
      <alignment horizontal="center" wrapText="1"/>
      <protection/>
    </xf>
    <xf numFmtId="0" fontId="34" fillId="0" borderId="8" xfId="25" applyNumberFormat="1" applyFont="1" applyFill="1" applyBorder="1" applyAlignment="1">
      <alignment horizontal="center" wrapText="1"/>
      <protection/>
    </xf>
    <xf numFmtId="2" fontId="34" fillId="0" borderId="8" xfId="0" applyNumberFormat="1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165" fontId="34" fillId="0" borderId="8" xfId="0" applyNumberFormat="1" applyFont="1" applyBorder="1" applyAlignment="1">
      <alignment horizontal="center"/>
    </xf>
    <xf numFmtId="165" fontId="34" fillId="0" borderId="8" xfId="0" applyNumberFormat="1" applyFont="1" applyFill="1" applyBorder="1" applyAlignment="1">
      <alignment horizontal="center"/>
    </xf>
    <xf numFmtId="165" fontId="34" fillId="0" borderId="8" xfId="25" applyNumberFormat="1" applyFont="1" applyFill="1" applyBorder="1" applyAlignment="1">
      <alignment horizontal="center" wrapText="1"/>
      <protection/>
    </xf>
    <xf numFmtId="165" fontId="34" fillId="0" borderId="0" xfId="0" applyNumberFormat="1" applyFont="1" applyAlignment="1">
      <alignment horizontal="center"/>
    </xf>
    <xf numFmtId="165" fontId="34" fillId="0" borderId="49" xfId="25" applyNumberFormat="1" applyFont="1" applyFill="1" applyBorder="1" applyAlignment="1">
      <alignment horizontal="center" wrapText="1"/>
      <protection/>
    </xf>
    <xf numFmtId="165" fontId="34" fillId="0" borderId="8" xfId="0" applyNumberFormat="1" applyFont="1" applyBorder="1" applyAlignment="1">
      <alignment horizontal="center"/>
    </xf>
    <xf numFmtId="0" fontId="37" fillId="0" borderId="43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0" fillId="0" borderId="82" xfId="0" applyBorder="1" applyAlignment="1">
      <alignment/>
    </xf>
    <xf numFmtId="0" fontId="17" fillId="0" borderId="82" xfId="0" applyFont="1" applyBorder="1" applyAlignment="1">
      <alignment/>
    </xf>
    <xf numFmtId="0" fontId="0" fillId="0" borderId="0" xfId="0" applyAlignment="1" quotePrefix="1">
      <alignment horizontal="right"/>
    </xf>
    <xf numFmtId="0" fontId="0" fillId="8" borderId="8" xfId="0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88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4" fillId="0" borderId="90" xfId="0" applyFont="1" applyBorder="1" applyAlignment="1">
      <alignment horizontal="center" wrapText="1"/>
    </xf>
    <xf numFmtId="0" fontId="7" fillId="0" borderId="91" xfId="0" applyNumberFormat="1" applyFont="1" applyBorder="1" applyAlignment="1">
      <alignment horizontal="center" wrapText="1"/>
    </xf>
    <xf numFmtId="0" fontId="0" fillId="0" borderId="92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8" fillId="0" borderId="9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4" xfId="0" applyBorder="1" applyAlignment="1">
      <alignment wrapText="1"/>
    </xf>
    <xf numFmtId="0" fontId="8" fillId="0" borderId="9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4" xfId="0" applyBorder="1" applyAlignment="1">
      <alignment horizontal="center"/>
    </xf>
    <xf numFmtId="0" fontId="11" fillId="0" borderId="95" xfId="0" applyFont="1" applyFill="1" applyBorder="1" applyAlignment="1">
      <alignment horizontal="center" wrapText="1"/>
    </xf>
    <xf numFmtId="0" fontId="11" fillId="0" borderId="90" xfId="0" applyFont="1" applyFill="1" applyBorder="1" applyAlignment="1">
      <alignment horizontal="center" wrapText="1"/>
    </xf>
    <xf numFmtId="0" fontId="11" fillId="0" borderId="89" xfId="0" applyFont="1" applyFill="1" applyBorder="1" applyAlignment="1">
      <alignment horizontal="center" wrapText="1"/>
    </xf>
    <xf numFmtId="0" fontId="0" fillId="0" borderId="95" xfId="0" applyFill="1" applyBorder="1" applyAlignment="1">
      <alignment horizontal="center" wrapText="1"/>
    </xf>
    <xf numFmtId="0" fontId="11" fillId="0" borderId="95" xfId="0" applyFont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11" fillId="0" borderId="89" xfId="0" applyFon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9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 wrapText="1"/>
    </xf>
    <xf numFmtId="0" fontId="6" fillId="0" borderId="9" xfId="22" applyFont="1" applyBorder="1" applyAlignment="1">
      <alignment horizontal="center"/>
      <protection/>
    </xf>
    <xf numFmtId="0" fontId="6" fillId="0" borderId="26" xfId="22" applyFont="1" applyBorder="1" applyAlignment="1">
      <alignment horizontal="center"/>
      <protection/>
    </xf>
    <xf numFmtId="0" fontId="7" fillId="0" borderId="4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6" borderId="97" xfId="0" applyFont="1" applyFill="1" applyBorder="1" applyAlignment="1">
      <alignment horizontal="center" wrapText="1"/>
    </xf>
    <xf numFmtId="0" fontId="0" fillId="6" borderId="98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wrapText="1"/>
    </xf>
    <xf numFmtId="0" fontId="0" fillId="6" borderId="67" xfId="0" applyFont="1" applyFill="1" applyBorder="1" applyAlignment="1">
      <alignment horizontal="center"/>
    </xf>
    <xf numFmtId="0" fontId="7" fillId="6" borderId="99" xfId="0" applyFont="1" applyFill="1" applyBorder="1" applyAlignment="1">
      <alignment horizontal="center" wrapText="1"/>
    </xf>
    <xf numFmtId="0" fontId="0" fillId="6" borderId="32" xfId="0" applyFont="1" applyFill="1" applyBorder="1" applyAlignment="1">
      <alignment horizontal="center"/>
    </xf>
    <xf numFmtId="0" fontId="4" fillId="9" borderId="100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8" borderId="101" xfId="0" applyFont="1" applyFill="1" applyBorder="1" applyAlignment="1">
      <alignment horizontal="center"/>
    </xf>
    <xf numFmtId="0" fontId="32" fillId="6" borderId="11" xfId="0" applyNumberFormat="1" applyFont="1" applyFill="1" applyBorder="1" applyAlignment="1">
      <alignment horizontal="center" wrapText="1"/>
    </xf>
    <xf numFmtId="0" fontId="31" fillId="6" borderId="67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2" xfId="0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0" fillId="0" borderId="102" xfId="0" applyBorder="1" applyAlignment="1">
      <alignment horizontal="left"/>
    </xf>
    <xf numFmtId="0" fontId="29" fillId="0" borderId="11" xfId="0" applyFont="1" applyFill="1" applyBorder="1" applyAlignment="1">
      <alignment horizontal="center" wrapText="1"/>
    </xf>
    <xf numFmtId="0" fontId="30" fillId="0" borderId="67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 wrapText="1"/>
    </xf>
    <xf numFmtId="0" fontId="0" fillId="0" borderId="103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67" xfId="0" applyFont="1" applyBorder="1" applyAlignment="1">
      <alignment horizontal="center" wrapText="1"/>
    </xf>
    <xf numFmtId="0" fontId="7" fillId="0" borderId="71" xfId="0" applyFont="1" applyFill="1" applyBorder="1" applyAlignment="1">
      <alignment horizontal="left" wrapText="1"/>
    </xf>
    <xf numFmtId="0" fontId="0" fillId="0" borderId="103" xfId="0" applyFont="1" applyFill="1" applyBorder="1" applyAlignment="1">
      <alignment horizontal="left" wrapText="1"/>
    </xf>
    <xf numFmtId="0" fontId="7" fillId="0" borderId="105" xfId="0" applyFont="1" applyFill="1" applyBorder="1" applyAlignment="1">
      <alignment horizontal="center" wrapText="1"/>
    </xf>
    <xf numFmtId="0" fontId="0" fillId="0" borderId="10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 wrapText="1"/>
    </xf>
    <xf numFmtId="0" fontId="0" fillId="0" borderId="9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13">
    <cellStyle name="Normal" xfId="0"/>
    <cellStyle name="archiv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TR and NTR" xfId="22"/>
    <cellStyle name="Normal_Effluent Limitations Calc_1" xfId="23"/>
    <cellStyle name="Normal_priority pollutant data" xfId="24"/>
    <cellStyle name="Normal_Sheet2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.f1.yahoofs.com/JN's%20stuff\San%20Mateo%20City\San%20Mateo%20Data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PLANT\1996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G109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LANT\EXCEL\ARCHIVE\1995D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SUMMARY\1997sum_b&amp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FORMS\AWKSRE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ject\NPDES%20Group\CA%20Permits\RB%202\Sonoma\To%20RB%20for%20review\Tt%20Sonoma%20RP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 Avg WCL"/>
      <sheetName val="Metals"/>
      <sheetName val="BOD"/>
      <sheetName val="Coli"/>
      <sheetName val="NH3"/>
      <sheetName val="Sett Mat pH"/>
      <sheetName val="Temp DO"/>
      <sheetName val="Toxicity"/>
      <sheetName val="Turb Cl2"/>
      <sheetName val="T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CT0696"/>
      <sheetName val="BIO0696"/>
      <sheetName val="CL20696"/>
      <sheetName val="DGEF06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G109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CT1295"/>
    </sheetNames>
    <sheetDataSet>
      <sheetData sheetId="0">
        <row r="9">
          <cell r="B9">
            <v>1250</v>
          </cell>
          <cell r="J9">
            <v>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OW"/>
      <sheetName val="RAIN_FLOW"/>
      <sheetName val="GT_DAFTS"/>
      <sheetName val="VF_SLD"/>
      <sheetName val="DGFD_AN"/>
      <sheetName val="DGFD_LD"/>
      <sheetName val="DIG_AN"/>
      <sheetName val="AD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T"/>
      <sheetName val="BIOA"/>
      <sheetName val="CL2"/>
      <sheetName val="EFFC"/>
      <sheetName val="EFFG"/>
      <sheetName val="EFSO"/>
      <sheetName val="INF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A (2)"/>
      <sheetName val="CuHgZn-Raw Monitoring data"/>
      <sheetName val="Metals+CN+TBT(Data)"/>
      <sheetName val="Organics Data"/>
      <sheetName val="Metals Data + Mini RPA"/>
      <sheetName val="criteria calculations"/>
      <sheetName val="RPA"/>
      <sheetName val="Limits Calculations"/>
      <sheetName val="Hg Mass Analysis "/>
      <sheetName val="Interim Lim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"/>
  <sheetViews>
    <sheetView tabSelected="1" zoomScale="83" zoomScaleNormal="83" workbookViewId="0" topLeftCell="A1">
      <pane xSplit="2" ySplit="10" topLeftCell="C11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I16" sqref="I16"/>
    </sheetView>
  </sheetViews>
  <sheetFormatPr defaultColWidth="9.140625" defaultRowHeight="12.75"/>
  <cols>
    <col min="1" max="1" width="8.421875" style="0" customWidth="1"/>
    <col min="2" max="2" width="22.8515625" style="0" customWidth="1"/>
    <col min="3" max="3" width="10.140625" style="252" customWidth="1"/>
    <col min="4" max="4" width="6.28125" style="0" hidden="1" customWidth="1"/>
    <col min="5" max="5" width="6.140625" style="0" hidden="1" customWidth="1"/>
    <col min="6" max="6" width="7.140625" style="0" customWidth="1"/>
    <col min="7" max="7" width="6.57421875" style="0" customWidth="1"/>
    <col min="8" max="9" width="4.7109375" style="0" customWidth="1"/>
    <col min="10" max="10" width="6.57421875" style="0" customWidth="1"/>
    <col min="11" max="11" width="6.28125" style="0" customWidth="1"/>
    <col min="12" max="12" width="7.57421875" style="0" customWidth="1"/>
    <col min="13" max="13" width="6.00390625" style="0" customWidth="1"/>
    <col min="14" max="14" width="7.140625" style="0" customWidth="1"/>
    <col min="15" max="15" width="8.140625" style="0" customWidth="1"/>
    <col min="16" max="16" width="10.00390625" style="0" bestFit="1" customWidth="1"/>
    <col min="17" max="18" width="6.140625" style="29" customWidth="1"/>
    <col min="19" max="19" width="6.00390625" style="29" customWidth="1"/>
    <col min="20" max="20" width="6.7109375" style="29" customWidth="1"/>
    <col min="23" max="23" width="7.421875" style="0" customWidth="1"/>
    <col min="24" max="24" width="7.57421875" style="0" customWidth="1"/>
    <col min="25" max="25" width="5.140625" style="0" bestFit="1" customWidth="1"/>
    <col min="26" max="26" width="6.28125" style="0" bestFit="1" customWidth="1"/>
  </cols>
  <sheetData>
    <row r="1" spans="2:4" ht="12.75">
      <c r="B1" s="26" t="s">
        <v>186</v>
      </c>
      <c r="C1" s="243" t="s">
        <v>23</v>
      </c>
      <c r="D1" s="16"/>
    </row>
    <row r="2" spans="2:4" ht="12.75">
      <c r="B2" s="26" t="s">
        <v>187</v>
      </c>
      <c r="C2" s="243">
        <v>25</v>
      </c>
      <c r="D2" s="16" t="s">
        <v>236</v>
      </c>
    </row>
    <row r="3" spans="2:4" ht="12.75">
      <c r="B3" s="26" t="s">
        <v>188</v>
      </c>
      <c r="C3" s="243">
        <v>7.8</v>
      </c>
      <c r="D3" s="16"/>
    </row>
    <row r="4" spans="2:4" ht="12.75">
      <c r="B4" s="30" t="s">
        <v>189</v>
      </c>
      <c r="C4" s="244"/>
      <c r="D4" s="16"/>
    </row>
    <row r="5" spans="2:4" ht="12.75">
      <c r="B5" s="30" t="s">
        <v>190</v>
      </c>
      <c r="C5" s="244"/>
      <c r="D5" s="16"/>
    </row>
    <row r="6" spans="2:4" ht="13.5" thickBot="1">
      <c r="B6" s="30"/>
      <c r="C6" s="244"/>
      <c r="D6" s="16"/>
    </row>
    <row r="7" spans="1:16" ht="32.25" customHeight="1" thickBot="1">
      <c r="A7" s="31"/>
      <c r="B7" s="32"/>
      <c r="C7" s="514" t="s">
        <v>147</v>
      </c>
      <c r="D7" s="517" t="s">
        <v>7</v>
      </c>
      <c r="E7" s="518"/>
      <c r="F7" s="518"/>
      <c r="G7" s="518"/>
      <c r="H7" s="518"/>
      <c r="I7" s="518"/>
      <c r="J7" s="519"/>
      <c r="K7" s="520" t="s">
        <v>8</v>
      </c>
      <c r="L7" s="521"/>
      <c r="M7" s="521"/>
      <c r="N7" s="521"/>
      <c r="O7" s="521"/>
      <c r="P7" s="522"/>
    </row>
    <row r="8" spans="1:26" s="35" customFormat="1" ht="24.75" customHeight="1" thickTop="1">
      <c r="A8" s="33"/>
      <c r="B8" s="34"/>
      <c r="C8" s="515"/>
      <c r="D8" s="523" t="s">
        <v>9</v>
      </c>
      <c r="E8" s="524"/>
      <c r="F8" s="525" t="s">
        <v>191</v>
      </c>
      <c r="G8" s="526"/>
      <c r="H8" s="527" t="s">
        <v>292</v>
      </c>
      <c r="I8" s="528"/>
      <c r="J8" s="528"/>
      <c r="K8" s="529" t="s">
        <v>10</v>
      </c>
      <c r="L8" s="530"/>
      <c r="M8" s="531" t="s">
        <v>11</v>
      </c>
      <c r="N8" s="530"/>
      <c r="O8" s="531" t="s">
        <v>192</v>
      </c>
      <c r="P8" s="532"/>
      <c r="Q8" s="506" t="s">
        <v>237</v>
      </c>
      <c r="R8" s="507"/>
      <c r="S8" s="507"/>
      <c r="T8" s="508"/>
      <c r="U8" s="509" t="s">
        <v>12</v>
      </c>
      <c r="V8" s="510"/>
      <c r="W8" s="510"/>
      <c r="X8" s="511"/>
      <c r="Y8" s="512" t="s">
        <v>284</v>
      </c>
      <c r="Z8" s="513"/>
    </row>
    <row r="9" spans="1:26" ht="37.5" customHeight="1" thickBot="1">
      <c r="A9" s="134" t="s">
        <v>193</v>
      </c>
      <c r="B9" s="135" t="s">
        <v>151</v>
      </c>
      <c r="C9" s="516"/>
      <c r="D9" s="36" t="s">
        <v>194</v>
      </c>
      <c r="E9" s="37" t="s">
        <v>13</v>
      </c>
      <c r="F9" s="36" t="s">
        <v>14</v>
      </c>
      <c r="G9" s="162" t="s">
        <v>16</v>
      </c>
      <c r="H9" s="38" t="s">
        <v>14</v>
      </c>
      <c r="I9" s="162" t="s">
        <v>16</v>
      </c>
      <c r="J9" s="162" t="s">
        <v>15</v>
      </c>
      <c r="K9" s="36" t="s">
        <v>195</v>
      </c>
      <c r="L9" s="162" t="s">
        <v>196</v>
      </c>
      <c r="M9" s="38" t="s">
        <v>195</v>
      </c>
      <c r="N9" s="162" t="s">
        <v>196</v>
      </c>
      <c r="O9" s="38" t="s">
        <v>197</v>
      </c>
      <c r="P9" s="164" t="s">
        <v>17</v>
      </c>
      <c r="Q9" s="39" t="s">
        <v>198</v>
      </c>
      <c r="R9" s="40" t="s">
        <v>199</v>
      </c>
      <c r="S9" s="40" t="s">
        <v>200</v>
      </c>
      <c r="T9" s="41" t="s">
        <v>201</v>
      </c>
      <c r="U9" s="42" t="s">
        <v>18</v>
      </c>
      <c r="V9" s="43" t="s">
        <v>19</v>
      </c>
      <c r="W9" s="43" t="s">
        <v>20</v>
      </c>
      <c r="X9" s="44" t="s">
        <v>21</v>
      </c>
      <c r="Y9" s="198" t="s">
        <v>285</v>
      </c>
      <c r="Z9" s="199" t="s">
        <v>286</v>
      </c>
    </row>
    <row r="10" spans="1:26" s="5" customFormat="1" ht="15" customHeight="1" thickBot="1">
      <c r="A10" s="45"/>
      <c r="B10" s="46"/>
      <c r="C10" s="478" t="s">
        <v>202</v>
      </c>
      <c r="D10" s="47" t="s">
        <v>202</v>
      </c>
      <c r="E10" s="48" t="s">
        <v>202</v>
      </c>
      <c r="F10" s="47" t="s">
        <v>202</v>
      </c>
      <c r="G10" s="163" t="s">
        <v>202</v>
      </c>
      <c r="H10" s="49" t="s">
        <v>202</v>
      </c>
      <c r="I10" s="163" t="s">
        <v>202</v>
      </c>
      <c r="J10" s="163" t="s">
        <v>202</v>
      </c>
      <c r="K10" s="47" t="s">
        <v>202</v>
      </c>
      <c r="L10" s="163" t="s">
        <v>202</v>
      </c>
      <c r="M10" s="49" t="s">
        <v>202</v>
      </c>
      <c r="N10" s="163" t="s">
        <v>202</v>
      </c>
      <c r="O10" s="49" t="s">
        <v>202</v>
      </c>
      <c r="P10" s="165" t="s">
        <v>202</v>
      </c>
      <c r="Q10" s="50"/>
      <c r="R10" s="51"/>
      <c r="S10" s="51"/>
      <c r="T10" s="52"/>
      <c r="U10" s="53"/>
      <c r="V10" s="54"/>
      <c r="W10" s="54"/>
      <c r="X10" s="55"/>
      <c r="Y10" s="201"/>
      <c r="Z10" s="202"/>
    </row>
    <row r="11" spans="1:26" ht="12.75">
      <c r="A11" s="124">
        <v>1</v>
      </c>
      <c r="B11" s="125" t="s">
        <v>22</v>
      </c>
      <c r="C11" s="245">
        <f>IF(MIN(D11:P11)=0,"No Criteria",MIN(D11:P11))</f>
        <v>4300</v>
      </c>
      <c r="D11" s="136"/>
      <c r="E11" s="125"/>
      <c r="F11" s="136"/>
      <c r="G11" s="149"/>
      <c r="H11" s="166"/>
      <c r="I11" s="167"/>
      <c r="J11" s="167"/>
      <c r="K11" s="180"/>
      <c r="L11" s="167"/>
      <c r="M11" s="186"/>
      <c r="N11" s="167"/>
      <c r="O11" s="113"/>
      <c r="P11" s="265">
        <v>4300</v>
      </c>
      <c r="Q11" s="58"/>
      <c r="R11" s="59"/>
      <c r="S11" s="59"/>
      <c r="T11" s="60"/>
      <c r="U11" s="57"/>
      <c r="V11" s="61"/>
      <c r="W11" s="61"/>
      <c r="X11" s="4"/>
      <c r="Y11" s="136"/>
      <c r="Z11" s="200"/>
    </row>
    <row r="12" spans="1:26" ht="12.75">
      <c r="A12" s="126">
        <v>2</v>
      </c>
      <c r="B12" s="127" t="s">
        <v>152</v>
      </c>
      <c r="C12" s="246">
        <f>IF($C$1="Y",IF(MIN(D12:J12)=0," No Criteria",MIN(D12:J12)),IF(MIN(D12:P12)=0,"No Criteria",MIN(D12:P12)))</f>
        <v>36</v>
      </c>
      <c r="D12" s="137"/>
      <c r="E12" s="138"/>
      <c r="F12" s="226">
        <f>K12</f>
        <v>340</v>
      </c>
      <c r="G12" s="227">
        <f>L12</f>
        <v>150</v>
      </c>
      <c r="H12" s="228">
        <f>M12</f>
        <v>69</v>
      </c>
      <c r="I12" s="227">
        <f>N12</f>
        <v>36</v>
      </c>
      <c r="J12" s="168"/>
      <c r="K12" s="226">
        <f>340/U12</f>
        <v>340</v>
      </c>
      <c r="L12" s="227">
        <f>150/V12</f>
        <v>150</v>
      </c>
      <c r="M12" s="228">
        <f>69/W12</f>
        <v>69</v>
      </c>
      <c r="N12" s="227">
        <f>36/X12</f>
        <v>36</v>
      </c>
      <c r="O12" s="114"/>
      <c r="P12" s="266"/>
      <c r="Q12" s="63"/>
      <c r="R12" s="64"/>
      <c r="S12" s="64"/>
      <c r="T12" s="65"/>
      <c r="U12" s="73">
        <v>1</v>
      </c>
      <c r="V12" s="71">
        <v>1</v>
      </c>
      <c r="W12" s="71">
        <v>1</v>
      </c>
      <c r="X12" s="72">
        <v>1</v>
      </c>
      <c r="Y12" s="73"/>
      <c r="Z12" s="72"/>
    </row>
    <row r="13" spans="1:26" ht="12.75">
      <c r="A13" s="126">
        <v>3</v>
      </c>
      <c r="B13" s="127" t="s">
        <v>203</v>
      </c>
      <c r="C13" s="247" t="str">
        <f>IF(MIN(D13:P13)=0,"No Criteria",MIN(D13:P13))</f>
        <v>No Criteria</v>
      </c>
      <c r="D13" s="137"/>
      <c r="E13" s="139"/>
      <c r="F13" s="150"/>
      <c r="G13" s="151"/>
      <c r="H13" s="169"/>
      <c r="I13" s="168"/>
      <c r="J13" s="168"/>
      <c r="K13" s="226"/>
      <c r="L13" s="227"/>
      <c r="M13" s="228"/>
      <c r="N13" s="227"/>
      <c r="O13" s="115"/>
      <c r="P13" s="266"/>
      <c r="Q13" s="63"/>
      <c r="R13" s="64"/>
      <c r="S13" s="64"/>
      <c r="T13" s="65"/>
      <c r="U13" s="62"/>
      <c r="V13" s="66"/>
      <c r="W13" s="66"/>
      <c r="X13" s="8"/>
      <c r="Y13" s="73"/>
      <c r="Z13" s="72"/>
    </row>
    <row r="14" spans="1:26" ht="12.75">
      <c r="A14" s="128">
        <v>4</v>
      </c>
      <c r="B14" s="129" t="s">
        <v>204</v>
      </c>
      <c r="C14" s="254">
        <f>IF($C$1="Y",IF(MIN(D14:J14)=0," No Criteria",MIN(D14:J14)),IF(MIN(D14:P14)=0,"No Criteria",MIN(D14:P14)))</f>
        <v>0.3819220677503161</v>
      </c>
      <c r="D14" s="73"/>
      <c r="E14" s="140"/>
      <c r="F14" s="230">
        <f>EXP(1.128*LN(C2)-3.828)</f>
        <v>0.8211018924067249</v>
      </c>
      <c r="G14" s="229">
        <f>EXP(0.7852*LN(C2)-3.49)</f>
        <v>0.3819220677503161</v>
      </c>
      <c r="H14" s="175">
        <f>M14</f>
        <v>42.25352112676056</v>
      </c>
      <c r="I14" s="177">
        <f>N14</f>
        <v>9.356136820925554</v>
      </c>
      <c r="J14" s="171"/>
      <c r="K14" s="230">
        <f>EXP(Q14*(LN($C$2))+R14)</f>
        <v>0.9457206310601655</v>
      </c>
      <c r="L14" s="229">
        <f>(EXP(S14*(LN($C$2))+T14))</f>
        <v>0.8289970334564578</v>
      </c>
      <c r="M14" s="233">
        <f>42/W14</f>
        <v>42.25352112676056</v>
      </c>
      <c r="N14" s="229">
        <f>9.3/X14</f>
        <v>9.356136820925554</v>
      </c>
      <c r="O14" s="116"/>
      <c r="P14" s="267"/>
      <c r="Q14" s="70">
        <v>1.128</v>
      </c>
      <c r="R14" s="68">
        <v>-3.6867</v>
      </c>
      <c r="S14" s="68">
        <v>0.7852</v>
      </c>
      <c r="T14" s="110">
        <v>-2.715</v>
      </c>
      <c r="U14" s="70">
        <f>1.136672-((LN($C$2))*0.041838)</f>
        <v>1.0020006732391642</v>
      </c>
      <c r="V14" s="25">
        <f>1.101672-((LN($C$2))*0.041838)</f>
        <v>0.9670006732391643</v>
      </c>
      <c r="W14" s="71">
        <v>0.994</v>
      </c>
      <c r="X14" s="72">
        <v>0.994</v>
      </c>
      <c r="Y14" s="73"/>
      <c r="Z14" s="72"/>
    </row>
    <row r="15" spans="1:26" ht="12.75">
      <c r="A15" s="128" t="s">
        <v>26</v>
      </c>
      <c r="B15" s="129" t="s">
        <v>302</v>
      </c>
      <c r="C15" s="224">
        <f>IF(MIN(D15:P15)=0,"  No Criteria",MIN(D15:P15))</f>
        <v>66.50381407757216</v>
      </c>
      <c r="D15" s="73"/>
      <c r="E15" s="140"/>
      <c r="F15" s="153"/>
      <c r="G15" s="152"/>
      <c r="H15" s="170"/>
      <c r="I15" s="171"/>
      <c r="J15" s="171"/>
      <c r="K15" s="232">
        <f>(EXP(Q15*(LN($C$2))+R15))</f>
        <v>557.9443914787149</v>
      </c>
      <c r="L15" s="233">
        <f>(EXP(S15*(LN($C$2))+T15))</f>
        <v>66.50381407757216</v>
      </c>
      <c r="M15" s="231"/>
      <c r="N15" s="229"/>
      <c r="O15" s="117"/>
      <c r="P15" s="267"/>
      <c r="Q15" s="67">
        <v>0.819</v>
      </c>
      <c r="R15" s="68">
        <v>3.688</v>
      </c>
      <c r="S15" s="68">
        <v>0.819</v>
      </c>
      <c r="T15" s="69">
        <v>1.561</v>
      </c>
      <c r="U15" s="73">
        <v>0.316</v>
      </c>
      <c r="V15" s="71">
        <v>0.86</v>
      </c>
      <c r="W15" s="71"/>
      <c r="X15" s="72"/>
      <c r="Y15" s="73"/>
      <c r="Z15" s="72"/>
    </row>
    <row r="16" spans="1:26" ht="12.75">
      <c r="A16" s="128" t="s">
        <v>27</v>
      </c>
      <c r="B16" s="130" t="s">
        <v>299</v>
      </c>
      <c r="C16" s="240">
        <f>IF($C$1="Y",IF(MIN(D16:J16)=0," No Criteria",MIN(D16:J16)),IF(MIN(D16:P16)=0,"No Criteria",MIN(D16:P16)))</f>
        <v>11.434511434511435</v>
      </c>
      <c r="D16" s="141"/>
      <c r="E16" s="142"/>
      <c r="F16" s="232">
        <f>K16</f>
        <v>16.293279022403258</v>
      </c>
      <c r="G16" s="233">
        <f>L16</f>
        <v>11.434511434511435</v>
      </c>
      <c r="H16" s="234">
        <f>M16</f>
        <v>1107.7542799597181</v>
      </c>
      <c r="I16" s="233">
        <f>N16</f>
        <v>50.35246727089628</v>
      </c>
      <c r="J16" s="171"/>
      <c r="K16" s="232">
        <f>16/U16</f>
        <v>16.293279022403258</v>
      </c>
      <c r="L16" s="233">
        <f>11/V16</f>
        <v>11.434511434511435</v>
      </c>
      <c r="M16" s="234">
        <f>1100/W16</f>
        <v>1107.7542799597181</v>
      </c>
      <c r="N16" s="233">
        <f>50/X16</f>
        <v>50.35246727089628</v>
      </c>
      <c r="O16" s="118"/>
      <c r="P16" s="268"/>
      <c r="Q16" s="67"/>
      <c r="R16" s="68"/>
      <c r="S16" s="68"/>
      <c r="T16" s="69"/>
      <c r="U16" s="73">
        <v>0.982</v>
      </c>
      <c r="V16" s="71">
        <v>0.962</v>
      </c>
      <c r="W16" s="71">
        <v>0.993</v>
      </c>
      <c r="X16" s="72">
        <v>0.993</v>
      </c>
      <c r="Y16" s="73"/>
      <c r="Z16" s="72"/>
    </row>
    <row r="17" spans="1:26" ht="12.75">
      <c r="A17" s="128">
        <v>6</v>
      </c>
      <c r="B17" s="129" t="s">
        <v>205</v>
      </c>
      <c r="C17" s="225">
        <f>IF(MIN(D17:P17)=0,"  No Criteria",MIN(D17:P17))</f>
        <v>2.853451723055603</v>
      </c>
      <c r="D17" s="143"/>
      <c r="E17" s="144"/>
      <c r="F17" s="230">
        <f>K17</f>
        <v>3.791739186859935</v>
      </c>
      <c r="G17" s="229">
        <f>L17</f>
        <v>2.853451723055603</v>
      </c>
      <c r="H17" s="170"/>
      <c r="I17" s="173"/>
      <c r="J17" s="174"/>
      <c r="K17" s="230">
        <f>(EXP(Q17*(LN($C$2))+R17))</f>
        <v>3.791739186859935</v>
      </c>
      <c r="L17" s="229">
        <f>(EXP(S17*(LN($C$2))+T17))</f>
        <v>2.853451723055603</v>
      </c>
      <c r="M17" s="229">
        <f>4.8/W17</f>
        <v>5.783132530120482</v>
      </c>
      <c r="N17" s="229">
        <f>3.1/X17</f>
        <v>3.734939759036145</v>
      </c>
      <c r="O17" s="120"/>
      <c r="P17" s="267"/>
      <c r="Q17" s="67">
        <v>0.9422</v>
      </c>
      <c r="R17" s="68">
        <v>-1.7</v>
      </c>
      <c r="S17" s="68">
        <v>0.8545</v>
      </c>
      <c r="T17" s="69">
        <v>-1.702</v>
      </c>
      <c r="U17" s="73">
        <v>0.96</v>
      </c>
      <c r="V17" s="71">
        <v>0.96</v>
      </c>
      <c r="W17" s="71">
        <v>0.83</v>
      </c>
      <c r="X17" s="72">
        <v>0.83</v>
      </c>
      <c r="Y17" s="197"/>
      <c r="Z17" s="196"/>
    </row>
    <row r="18" spans="1:26" ht="12.75">
      <c r="A18" s="128">
        <v>7</v>
      </c>
      <c r="B18" s="129" t="s">
        <v>206</v>
      </c>
      <c r="C18" s="254">
        <f>IF($C$1="Y",IF(MIN(D18:J18)=0," No Criteria",MIN(D18:J18)),IF(MIN(D18:P18)=0,"No Criteria",MIN(D18:P18)))</f>
        <v>0.5447811770515438</v>
      </c>
      <c r="D18" s="73"/>
      <c r="E18" s="142"/>
      <c r="F18" s="232">
        <f>K18</f>
        <v>13.980016611766601</v>
      </c>
      <c r="G18" s="229">
        <f>L18</f>
        <v>0.5447811770515438</v>
      </c>
      <c r="H18" s="231">
        <f>M18</f>
        <v>220.82018927444796</v>
      </c>
      <c r="I18" s="229">
        <f>N18</f>
        <v>8.517350157728707</v>
      </c>
      <c r="J18" s="175"/>
      <c r="K18" s="232">
        <f>(EXP(Q18*(LN($C$2))+R18))</f>
        <v>13.980016611766601</v>
      </c>
      <c r="L18" s="229">
        <f>(EXP(S18*(LN($C$2))+T18))</f>
        <v>0.5447811770515438</v>
      </c>
      <c r="M18" s="231">
        <f>210/W18</f>
        <v>220.82018927444796</v>
      </c>
      <c r="N18" s="229">
        <f>8.1/X18</f>
        <v>8.517350157728707</v>
      </c>
      <c r="O18" s="116"/>
      <c r="P18" s="267"/>
      <c r="Q18" s="67">
        <v>1.273</v>
      </c>
      <c r="R18" s="68">
        <v>-1.46</v>
      </c>
      <c r="S18" s="68">
        <v>1.273</v>
      </c>
      <c r="T18" s="69">
        <v>-4.705</v>
      </c>
      <c r="U18" s="70">
        <f>1.46203-((LN($C$2))*0.145712)</f>
        <v>0.9930011658068048</v>
      </c>
      <c r="V18" s="25">
        <f>1.46203-((LN($C$2))*0.145712)</f>
        <v>0.9930011658068048</v>
      </c>
      <c r="W18" s="71">
        <v>0.951</v>
      </c>
      <c r="X18" s="72">
        <v>0.951</v>
      </c>
      <c r="Y18" s="73"/>
      <c r="Z18" s="72"/>
    </row>
    <row r="19" spans="1:26" ht="12.75">
      <c r="A19" s="128">
        <v>8</v>
      </c>
      <c r="B19" s="130" t="s">
        <v>207</v>
      </c>
      <c r="C19" s="246">
        <f>IF($C$1="Y",IF(MIN(D19:J19)=0," No Criteria",MIN(D19:J19)),IF(MIN(D19:P19)=0,"No Criteria",MIN(D19:P19)))</f>
        <v>0.025</v>
      </c>
      <c r="D19" s="145"/>
      <c r="E19" s="146"/>
      <c r="F19" s="156">
        <v>0.025</v>
      </c>
      <c r="G19" s="157">
        <v>2.4</v>
      </c>
      <c r="H19" s="176">
        <v>0.025</v>
      </c>
      <c r="I19" s="177">
        <v>2.1</v>
      </c>
      <c r="J19" s="177"/>
      <c r="K19" s="235"/>
      <c r="L19" s="236"/>
      <c r="M19" s="236"/>
      <c r="N19" s="236"/>
      <c r="O19" s="119"/>
      <c r="P19" s="269">
        <v>0.051</v>
      </c>
      <c r="Q19" s="67"/>
      <c r="R19" s="68"/>
      <c r="S19" s="68"/>
      <c r="T19" s="69"/>
      <c r="U19" s="73"/>
      <c r="V19" s="71"/>
      <c r="W19" s="71"/>
      <c r="X19" s="72"/>
      <c r="Y19" s="73"/>
      <c r="Z19" s="72"/>
    </row>
    <row r="20" spans="1:26" ht="12.75">
      <c r="A20" s="128">
        <v>9</v>
      </c>
      <c r="B20" s="129" t="s">
        <v>208</v>
      </c>
      <c r="C20" s="241">
        <f>IF($C$1="Y",IF(MIN(D20:J20)=0," No Criteria",MIN(D20:J20)),IF(MIN(D20:P20)=0,"No Criteria",MIN(D20:P20)))</f>
        <v>8.282828282828282</v>
      </c>
      <c r="D20" s="143"/>
      <c r="E20" s="146"/>
      <c r="F20" s="232">
        <f>K20</f>
        <v>145.2082541936253</v>
      </c>
      <c r="G20" s="233">
        <f>L20</f>
        <v>16.144330700751695</v>
      </c>
      <c r="H20" s="231">
        <f>M20</f>
        <v>74.74747474747475</v>
      </c>
      <c r="I20" s="229">
        <f>N20</f>
        <v>8.282828282828282</v>
      </c>
      <c r="J20" s="203"/>
      <c r="K20" s="232">
        <f>(EXP(Q20*(LN($C$2))+R20))</f>
        <v>145.2082541936253</v>
      </c>
      <c r="L20" s="233">
        <f>(EXP(S20*(LN($C$2))+T20))</f>
        <v>16.144330700751695</v>
      </c>
      <c r="M20" s="231">
        <f>74/W20</f>
        <v>74.74747474747475</v>
      </c>
      <c r="N20" s="229">
        <f>8.2/X20</f>
        <v>8.282828282828282</v>
      </c>
      <c r="O20" s="120"/>
      <c r="P20" s="265">
        <v>4600</v>
      </c>
      <c r="Q20" s="67">
        <v>0.846</v>
      </c>
      <c r="R20" s="68">
        <v>2.255</v>
      </c>
      <c r="S20" s="68">
        <v>0.846</v>
      </c>
      <c r="T20" s="69">
        <v>0.0584</v>
      </c>
      <c r="U20" s="73">
        <v>0.998</v>
      </c>
      <c r="V20" s="71">
        <v>0.997</v>
      </c>
      <c r="W20" s="71">
        <v>0.99</v>
      </c>
      <c r="X20" s="72">
        <v>0.99</v>
      </c>
      <c r="Y20" s="197"/>
      <c r="Z20" s="196"/>
    </row>
    <row r="21" spans="1:26" ht="12.75">
      <c r="A21" s="128">
        <v>10</v>
      </c>
      <c r="B21" s="129" t="s">
        <v>209</v>
      </c>
      <c r="C21" s="242">
        <f>IF(MIN(D21:P21)=0,"  No Criteria",MIN(D21:P21))</f>
        <v>5</v>
      </c>
      <c r="D21" s="143"/>
      <c r="E21" s="146"/>
      <c r="F21" s="141"/>
      <c r="G21" s="158"/>
      <c r="H21" s="121"/>
      <c r="I21" s="174"/>
      <c r="J21" s="174"/>
      <c r="K21" s="182">
        <v>20</v>
      </c>
      <c r="L21" s="175">
        <v>5</v>
      </c>
      <c r="M21" s="118">
        <f>IF(C1="Y",20,290/W21)</f>
        <v>20</v>
      </c>
      <c r="N21" s="181">
        <f>IF(C1="Y",5,71/X21)</f>
        <v>5</v>
      </c>
      <c r="O21" s="118"/>
      <c r="P21" s="267"/>
      <c r="Q21" s="67"/>
      <c r="R21" s="68"/>
      <c r="S21" s="68"/>
      <c r="T21" s="69"/>
      <c r="U21" s="73"/>
      <c r="V21" s="71"/>
      <c r="W21" s="71">
        <v>0.998</v>
      </c>
      <c r="X21" s="72">
        <v>0.998</v>
      </c>
      <c r="Y21" s="73"/>
      <c r="Z21" s="72"/>
    </row>
    <row r="22" spans="1:26" ht="12.75">
      <c r="A22" s="128">
        <v>11</v>
      </c>
      <c r="B22" s="129" t="s">
        <v>210</v>
      </c>
      <c r="C22" s="254">
        <f>IF($C$1="Y",IF(MIN(D22:J22)=0," No Criteria",MIN(D22:J22)),IF(MIN(D22:P22)=0,"No Criteria",MIN(D22:P22)))</f>
        <v>0.3739872469449391</v>
      </c>
      <c r="D22" s="73"/>
      <c r="E22" s="142"/>
      <c r="F22" s="230">
        <f>K22</f>
        <v>0.3739872469449391</v>
      </c>
      <c r="G22" s="152"/>
      <c r="H22" s="237">
        <f>M22</f>
        <v>2.235294117647059</v>
      </c>
      <c r="I22" s="177"/>
      <c r="J22" s="177"/>
      <c r="K22" s="230">
        <f>(EXP(Q22*(LN($C$2))+R22))</f>
        <v>0.3739872469449391</v>
      </c>
      <c r="L22" s="229"/>
      <c r="M22" s="237">
        <f>1.9/W22</f>
        <v>2.235294117647059</v>
      </c>
      <c r="N22" s="174"/>
      <c r="O22" s="119"/>
      <c r="P22" s="267"/>
      <c r="Q22" s="67">
        <v>1.72</v>
      </c>
      <c r="R22" s="68">
        <v>-6.52</v>
      </c>
      <c r="S22" s="68"/>
      <c r="T22" s="69"/>
      <c r="U22" s="73">
        <v>0.85</v>
      </c>
      <c r="V22" s="71"/>
      <c r="W22" s="71">
        <v>0.85</v>
      </c>
      <c r="X22" s="72"/>
      <c r="Y22" s="73"/>
      <c r="Z22" s="72"/>
    </row>
    <row r="23" spans="1:26" ht="12.75">
      <c r="A23" s="128">
        <v>12</v>
      </c>
      <c r="B23" s="129" t="s">
        <v>28</v>
      </c>
      <c r="C23" s="242">
        <f>IF(MIN(D23:P23)=0,"  No Criteria",MIN(D23:P23))</f>
        <v>6.3</v>
      </c>
      <c r="D23" s="73"/>
      <c r="E23" s="142"/>
      <c r="F23" s="73"/>
      <c r="G23" s="71"/>
      <c r="H23" s="121"/>
      <c r="I23" s="174"/>
      <c r="J23" s="174"/>
      <c r="K23" s="182"/>
      <c r="L23" s="174"/>
      <c r="M23" s="119"/>
      <c r="N23" s="174"/>
      <c r="O23" s="119"/>
      <c r="P23" s="270">
        <v>6.3</v>
      </c>
      <c r="Q23" s="67"/>
      <c r="R23" s="68"/>
      <c r="S23" s="68"/>
      <c r="T23" s="69"/>
      <c r="U23" s="73"/>
      <c r="V23" s="71"/>
      <c r="W23" s="71"/>
      <c r="X23" s="72"/>
      <c r="Y23" s="73"/>
      <c r="Z23" s="72"/>
    </row>
    <row r="24" spans="1:26" ht="13.5" thickBot="1">
      <c r="A24" s="128">
        <v>13</v>
      </c>
      <c r="B24" s="129" t="s">
        <v>211</v>
      </c>
      <c r="C24" s="241">
        <f>IF($C$1="Y",IF(MIN(D24:J24)=0," No Criteria",MIN(D24:J24)),IF(MIN(D24:P24)=0,"No Criteria",MIN(D24:P24)))</f>
        <v>37.0161197397773</v>
      </c>
      <c r="D24" s="73"/>
      <c r="E24" s="142"/>
      <c r="F24" s="232">
        <f>K24</f>
        <v>37.0161197397773</v>
      </c>
      <c r="G24" s="233">
        <f>L24</f>
        <v>37.0161197397773</v>
      </c>
      <c r="H24" s="231">
        <f>M24</f>
        <v>95.13742071881607</v>
      </c>
      <c r="I24" s="233">
        <f>N24</f>
        <v>85.62367864693447</v>
      </c>
      <c r="J24" s="206"/>
      <c r="K24" s="232">
        <f>(EXP(Q24*(LN($C$2))+R24))</f>
        <v>37.0161197397773</v>
      </c>
      <c r="L24" s="233">
        <f>(EXP(S24*(LN($C$2))+T24))</f>
        <v>37.0161197397773</v>
      </c>
      <c r="M24" s="231">
        <f>90/W24</f>
        <v>95.13742071881607</v>
      </c>
      <c r="N24" s="233">
        <f>81/X24</f>
        <v>85.62367864693447</v>
      </c>
      <c r="O24" s="118"/>
      <c r="P24" s="267"/>
      <c r="Q24" s="67">
        <v>0.8473</v>
      </c>
      <c r="R24" s="68">
        <v>0.884</v>
      </c>
      <c r="S24" s="68">
        <v>0.8473</v>
      </c>
      <c r="T24" s="69">
        <v>0.884</v>
      </c>
      <c r="U24" s="73">
        <v>0.978</v>
      </c>
      <c r="V24" s="71">
        <v>0.986</v>
      </c>
      <c r="W24" s="71">
        <v>0.946</v>
      </c>
      <c r="X24" s="72">
        <v>0.946</v>
      </c>
      <c r="Y24" s="204"/>
      <c r="Z24" s="205"/>
    </row>
    <row r="25" spans="1:24" ht="12.75">
      <c r="A25" s="128">
        <v>14</v>
      </c>
      <c r="B25" s="129" t="s">
        <v>212</v>
      </c>
      <c r="C25" s="247">
        <f>IF(MIN(D25:P25)=0,"No Criteria",MIN(D25:P25))</f>
        <v>1</v>
      </c>
      <c r="D25" s="73"/>
      <c r="E25" s="142"/>
      <c r="F25" s="153"/>
      <c r="G25" s="155"/>
      <c r="H25" s="172"/>
      <c r="I25" s="175"/>
      <c r="J25" s="175"/>
      <c r="K25" s="183">
        <v>22</v>
      </c>
      <c r="L25" s="177">
        <v>5.2</v>
      </c>
      <c r="M25" s="120">
        <v>1</v>
      </c>
      <c r="N25" s="175">
        <v>1</v>
      </c>
      <c r="O25" s="120"/>
      <c r="P25" s="265">
        <v>220000</v>
      </c>
      <c r="Q25" s="63"/>
      <c r="R25" s="64"/>
      <c r="S25" s="64"/>
      <c r="T25" s="65"/>
      <c r="U25" s="62"/>
      <c r="V25" s="66"/>
      <c r="W25" s="66"/>
      <c r="X25" s="8"/>
    </row>
    <row r="26" spans="1:24" ht="12.75">
      <c r="A26" s="128">
        <v>15</v>
      </c>
      <c r="B26" s="129" t="s">
        <v>29</v>
      </c>
      <c r="C26" s="247" t="str">
        <f>IF(MIN(D26:P26)=0,"No Criteria",MIN(D26:P26))</f>
        <v>No Criteria</v>
      </c>
      <c r="D26" s="73"/>
      <c r="E26" s="129"/>
      <c r="F26" s="73"/>
      <c r="G26" s="71"/>
      <c r="H26" s="121"/>
      <c r="I26" s="174"/>
      <c r="J26" s="174"/>
      <c r="K26" s="182"/>
      <c r="L26" s="174"/>
      <c r="M26" s="119"/>
      <c r="N26" s="174"/>
      <c r="O26" s="119"/>
      <c r="P26" s="188"/>
      <c r="Q26" s="63"/>
      <c r="R26" s="64"/>
      <c r="S26" s="64"/>
      <c r="T26" s="65"/>
      <c r="U26" s="62"/>
      <c r="V26" s="66"/>
      <c r="W26" s="66"/>
      <c r="X26" s="8"/>
    </row>
    <row r="27" spans="1:24" ht="12.75">
      <c r="A27" s="126"/>
      <c r="B27" s="129" t="s">
        <v>289</v>
      </c>
      <c r="C27" s="242">
        <f aca="true" t="shared" si="0" ref="C27:C34">IF(MIN(D27:P27)=0,"  No Criteria",MIN(D27:P27))</f>
        <v>1.4E-08</v>
      </c>
      <c r="D27" s="143"/>
      <c r="E27" s="129"/>
      <c r="F27" s="73"/>
      <c r="G27" s="66"/>
      <c r="H27" s="121"/>
      <c r="I27" s="71"/>
      <c r="J27" s="71"/>
      <c r="K27" s="73"/>
      <c r="L27" s="71"/>
      <c r="M27" s="121"/>
      <c r="N27" s="71"/>
      <c r="O27" s="121"/>
      <c r="P27" s="271">
        <v>1.4E-08</v>
      </c>
      <c r="Q27" s="63"/>
      <c r="R27" s="64"/>
      <c r="S27" s="64"/>
      <c r="T27" s="65"/>
      <c r="U27" s="62"/>
      <c r="V27" s="66"/>
      <c r="W27" s="66"/>
      <c r="X27" s="8"/>
    </row>
    <row r="28" spans="1:24" ht="12.75">
      <c r="A28" s="126">
        <v>17</v>
      </c>
      <c r="B28" s="129" t="s">
        <v>30</v>
      </c>
      <c r="C28" s="242">
        <f t="shared" si="0"/>
        <v>780</v>
      </c>
      <c r="D28" s="73"/>
      <c r="E28" s="129"/>
      <c r="F28" s="73"/>
      <c r="G28" s="71"/>
      <c r="H28" s="121"/>
      <c r="I28" s="71"/>
      <c r="J28" s="71"/>
      <c r="K28" s="73"/>
      <c r="L28" s="71"/>
      <c r="M28" s="121"/>
      <c r="N28" s="71"/>
      <c r="O28" s="121"/>
      <c r="P28" s="144">
        <v>780</v>
      </c>
      <c r="Q28" s="63"/>
      <c r="R28" s="64"/>
      <c r="S28" s="64"/>
      <c r="T28" s="65"/>
      <c r="U28" s="62"/>
      <c r="V28" s="66"/>
      <c r="W28" s="66"/>
      <c r="X28" s="8"/>
    </row>
    <row r="29" spans="1:24" ht="12.75">
      <c r="A29" s="126">
        <v>18</v>
      </c>
      <c r="B29" s="129" t="s">
        <v>31</v>
      </c>
      <c r="C29" s="242">
        <f t="shared" si="0"/>
        <v>0.66</v>
      </c>
      <c r="D29" s="73"/>
      <c r="E29" s="129"/>
      <c r="F29" s="73"/>
      <c r="G29" s="71"/>
      <c r="H29" s="121"/>
      <c r="I29" s="71"/>
      <c r="J29" s="71"/>
      <c r="K29" s="73"/>
      <c r="L29" s="71"/>
      <c r="M29" s="121"/>
      <c r="N29" s="71"/>
      <c r="O29" s="121"/>
      <c r="P29" s="272">
        <v>0.66</v>
      </c>
      <c r="Q29" s="63"/>
      <c r="R29" s="64"/>
      <c r="S29" s="64"/>
      <c r="T29" s="65"/>
      <c r="U29" s="62"/>
      <c r="V29" s="66"/>
      <c r="W29" s="66"/>
      <c r="X29" s="8"/>
    </row>
    <row r="30" spans="1:24" ht="12.75">
      <c r="A30" s="126">
        <v>19</v>
      </c>
      <c r="B30" s="129" t="s">
        <v>32</v>
      </c>
      <c r="C30" s="242">
        <f t="shared" si="0"/>
        <v>71</v>
      </c>
      <c r="D30" s="73"/>
      <c r="E30" s="129"/>
      <c r="F30" s="73"/>
      <c r="G30" s="71"/>
      <c r="H30" s="121"/>
      <c r="I30" s="71"/>
      <c r="J30" s="71"/>
      <c r="K30" s="73"/>
      <c r="L30" s="71"/>
      <c r="M30" s="121"/>
      <c r="N30" s="71"/>
      <c r="O30" s="121"/>
      <c r="P30" s="144">
        <v>71</v>
      </c>
      <c r="Q30" s="63"/>
      <c r="R30" s="64"/>
      <c r="S30" s="64"/>
      <c r="T30" s="65"/>
      <c r="U30" s="62"/>
      <c r="V30" s="66"/>
      <c r="W30" s="66"/>
      <c r="X30" s="8"/>
    </row>
    <row r="31" spans="1:24" ht="12.75">
      <c r="A31" s="126">
        <v>20</v>
      </c>
      <c r="B31" s="129" t="s">
        <v>33</v>
      </c>
      <c r="C31" s="242">
        <f t="shared" si="0"/>
        <v>360</v>
      </c>
      <c r="D31" s="73"/>
      <c r="E31" s="129"/>
      <c r="F31" s="73"/>
      <c r="G31" s="71"/>
      <c r="H31" s="121"/>
      <c r="I31" s="71"/>
      <c r="J31" s="71"/>
      <c r="K31" s="73"/>
      <c r="L31" s="71"/>
      <c r="M31" s="121"/>
      <c r="N31" s="71"/>
      <c r="O31" s="121"/>
      <c r="P31" s="144">
        <v>360</v>
      </c>
      <c r="Q31" s="63"/>
      <c r="R31" s="64"/>
      <c r="S31" s="64"/>
      <c r="T31" s="65"/>
      <c r="U31" s="62"/>
      <c r="V31" s="66"/>
      <c r="W31" s="66"/>
      <c r="X31" s="8"/>
    </row>
    <row r="32" spans="1:24" ht="12.75">
      <c r="A32" s="126">
        <v>21</v>
      </c>
      <c r="B32" s="129" t="s">
        <v>34</v>
      </c>
      <c r="C32" s="242">
        <f t="shared" si="0"/>
        <v>4.4</v>
      </c>
      <c r="D32" s="73"/>
      <c r="E32" s="129"/>
      <c r="F32" s="73"/>
      <c r="G32" s="71"/>
      <c r="H32" s="121"/>
      <c r="I32" s="71"/>
      <c r="J32" s="71"/>
      <c r="K32" s="73"/>
      <c r="L32" s="71"/>
      <c r="M32" s="121"/>
      <c r="N32" s="71"/>
      <c r="O32" s="121"/>
      <c r="P32" s="273">
        <v>4.4</v>
      </c>
      <c r="Q32" s="63"/>
      <c r="R32" s="64"/>
      <c r="S32" s="64"/>
      <c r="T32" s="65"/>
      <c r="U32" s="62"/>
      <c r="V32" s="66"/>
      <c r="W32" s="66"/>
      <c r="X32" s="8"/>
    </row>
    <row r="33" spans="1:24" ht="12.75">
      <c r="A33" s="126">
        <v>22</v>
      </c>
      <c r="B33" s="129" t="s">
        <v>35</v>
      </c>
      <c r="C33" s="242">
        <f t="shared" si="0"/>
        <v>21000</v>
      </c>
      <c r="D33" s="73"/>
      <c r="E33" s="129"/>
      <c r="F33" s="73"/>
      <c r="G33" s="71"/>
      <c r="H33" s="121"/>
      <c r="I33" s="71"/>
      <c r="J33" s="71"/>
      <c r="K33" s="73"/>
      <c r="L33" s="71"/>
      <c r="M33" s="121"/>
      <c r="N33" s="71"/>
      <c r="O33" s="121"/>
      <c r="P33" s="274">
        <v>21000</v>
      </c>
      <c r="Q33" s="63"/>
      <c r="R33" s="64"/>
      <c r="S33" s="64"/>
      <c r="T33" s="65"/>
      <c r="U33" s="62"/>
      <c r="V33" s="66"/>
      <c r="W33" s="66"/>
      <c r="X33" s="8"/>
    </row>
    <row r="34" spans="1:24" ht="12.75">
      <c r="A34" s="126">
        <v>23</v>
      </c>
      <c r="B34" s="129" t="s">
        <v>213</v>
      </c>
      <c r="C34" s="242">
        <f t="shared" si="0"/>
        <v>34</v>
      </c>
      <c r="D34" s="73"/>
      <c r="E34" s="129"/>
      <c r="F34" s="73"/>
      <c r="G34" s="71"/>
      <c r="H34" s="121"/>
      <c r="I34" s="71"/>
      <c r="J34" s="71"/>
      <c r="K34" s="73"/>
      <c r="L34" s="71"/>
      <c r="M34" s="121"/>
      <c r="N34" s="71"/>
      <c r="O34" s="121"/>
      <c r="P34" s="144">
        <v>34</v>
      </c>
      <c r="Q34" s="63"/>
      <c r="R34" s="64"/>
      <c r="S34" s="64"/>
      <c r="T34" s="65"/>
      <c r="U34" s="62"/>
      <c r="V34" s="66"/>
      <c r="W34" s="66"/>
      <c r="X34" s="8"/>
    </row>
    <row r="35" spans="1:24" ht="12.75">
      <c r="A35" s="126">
        <v>24</v>
      </c>
      <c r="B35" s="129" t="s">
        <v>37</v>
      </c>
      <c r="C35" s="248" t="str">
        <f>IF(MIN(D35:P35)=0,"No Criteria",MIN(D35:P35))</f>
        <v>No Criteria</v>
      </c>
      <c r="D35" s="73"/>
      <c r="E35" s="129"/>
      <c r="F35" s="73"/>
      <c r="G35" s="71"/>
      <c r="H35" s="121"/>
      <c r="I35" s="71"/>
      <c r="J35" s="71"/>
      <c r="K35" s="73"/>
      <c r="L35" s="71"/>
      <c r="M35" s="121"/>
      <c r="N35" s="71"/>
      <c r="O35" s="121"/>
      <c r="P35" s="72"/>
      <c r="Q35" s="63"/>
      <c r="R35" s="64"/>
      <c r="S35" s="64"/>
      <c r="T35" s="65"/>
      <c r="U35" s="62"/>
      <c r="V35" s="66"/>
      <c r="W35" s="66"/>
      <c r="X35" s="8"/>
    </row>
    <row r="36" spans="1:24" ht="12.75">
      <c r="A36" s="126">
        <v>25</v>
      </c>
      <c r="B36" s="129" t="s">
        <v>214</v>
      </c>
      <c r="C36" s="248" t="str">
        <f>IF(MIN(D36:P36)=0,"No Criteria",MIN(D36:P36))</f>
        <v>No Criteria</v>
      </c>
      <c r="D36" s="73"/>
      <c r="E36" s="129"/>
      <c r="F36" s="73"/>
      <c r="G36" s="71"/>
      <c r="H36" s="121"/>
      <c r="I36" s="71"/>
      <c r="J36" s="71"/>
      <c r="K36" s="73"/>
      <c r="L36" s="71"/>
      <c r="M36" s="121"/>
      <c r="N36" s="71"/>
      <c r="O36" s="121"/>
      <c r="P36" s="72"/>
      <c r="Q36" s="63"/>
      <c r="R36" s="64"/>
      <c r="S36" s="64"/>
      <c r="T36" s="65"/>
      <c r="U36" s="62"/>
      <c r="V36" s="66"/>
      <c r="W36" s="66"/>
      <c r="X36" s="8"/>
    </row>
    <row r="37" spans="1:24" ht="12.75">
      <c r="A37" s="126">
        <v>26</v>
      </c>
      <c r="B37" s="129" t="s">
        <v>39</v>
      </c>
      <c r="C37" s="248" t="str">
        <f>IF(MIN(D37:P37)=0,"No Criteria",MIN(D37:P37))</f>
        <v>No Criteria</v>
      </c>
      <c r="D37" s="73"/>
      <c r="E37" s="129"/>
      <c r="F37" s="73"/>
      <c r="G37" s="71"/>
      <c r="H37" s="121"/>
      <c r="I37" s="71"/>
      <c r="J37" s="71"/>
      <c r="K37" s="73"/>
      <c r="L37" s="71"/>
      <c r="M37" s="121"/>
      <c r="N37" s="71"/>
      <c r="O37" s="121"/>
      <c r="P37" s="72"/>
      <c r="Q37" s="63"/>
      <c r="R37" s="64"/>
      <c r="S37" s="64"/>
      <c r="T37" s="65"/>
      <c r="U37" s="62"/>
      <c r="V37" s="66"/>
      <c r="W37" s="66"/>
      <c r="X37" s="8"/>
    </row>
    <row r="38" spans="1:24" ht="12.75">
      <c r="A38" s="126">
        <v>27</v>
      </c>
      <c r="B38" s="129" t="s">
        <v>40</v>
      </c>
      <c r="C38" s="242">
        <f>IF(MIN(D38:P38)=0,"  No Criteria",MIN(D38:P38))</f>
        <v>46</v>
      </c>
      <c r="D38" s="73"/>
      <c r="E38" s="129"/>
      <c r="F38" s="73"/>
      <c r="G38" s="71"/>
      <c r="H38" s="121"/>
      <c r="I38" s="71"/>
      <c r="J38" s="71"/>
      <c r="K38" s="73"/>
      <c r="L38" s="71"/>
      <c r="M38" s="121"/>
      <c r="N38" s="71"/>
      <c r="O38" s="121"/>
      <c r="P38" s="144">
        <v>46</v>
      </c>
      <c r="Q38" s="63"/>
      <c r="R38" s="64"/>
      <c r="S38" s="64"/>
      <c r="T38" s="65"/>
      <c r="U38" s="62"/>
      <c r="V38" s="66"/>
      <c r="W38" s="66"/>
      <c r="X38" s="8"/>
    </row>
    <row r="39" spans="1:24" ht="12.75">
      <c r="A39" s="126">
        <v>28</v>
      </c>
      <c r="B39" s="129" t="s">
        <v>41</v>
      </c>
      <c r="C39" s="248" t="str">
        <f>IF(MIN(D39:P39)=0,"No Criteria",MIN(D39:P39))</f>
        <v>No Criteria</v>
      </c>
      <c r="D39" s="73"/>
      <c r="E39" s="129"/>
      <c r="F39" s="73"/>
      <c r="G39" s="71"/>
      <c r="H39" s="121"/>
      <c r="I39" s="71"/>
      <c r="J39" s="71"/>
      <c r="K39" s="73"/>
      <c r="L39" s="71"/>
      <c r="M39" s="121"/>
      <c r="N39" s="71"/>
      <c r="O39" s="121"/>
      <c r="P39" s="72"/>
      <c r="Q39" s="63"/>
      <c r="R39" s="64"/>
      <c r="S39" s="64"/>
      <c r="T39" s="65"/>
      <c r="U39" s="62"/>
      <c r="V39" s="66"/>
      <c r="W39" s="66"/>
      <c r="X39" s="8"/>
    </row>
    <row r="40" spans="1:24" ht="12.75">
      <c r="A40" s="126">
        <v>29</v>
      </c>
      <c r="B40" s="129" t="s">
        <v>42</v>
      </c>
      <c r="C40" s="242">
        <f aca="true" t="shared" si="1" ref="C40:C45">IF(MIN(D40:P40)=0,"  No Criteria",MIN(D40:P40))</f>
        <v>99</v>
      </c>
      <c r="D40" s="73"/>
      <c r="E40" s="129"/>
      <c r="F40" s="73"/>
      <c r="G40" s="71"/>
      <c r="H40" s="121"/>
      <c r="I40" s="71"/>
      <c r="J40" s="71"/>
      <c r="K40" s="73"/>
      <c r="L40" s="71"/>
      <c r="M40" s="121"/>
      <c r="N40" s="71"/>
      <c r="O40" s="121"/>
      <c r="P40" s="144">
        <v>99</v>
      </c>
      <c r="Q40" s="63"/>
      <c r="R40" s="64"/>
      <c r="S40" s="64"/>
      <c r="T40" s="65"/>
      <c r="U40" s="62"/>
      <c r="V40" s="66"/>
      <c r="W40" s="66"/>
      <c r="X40" s="8"/>
    </row>
    <row r="41" spans="1:24" ht="12.75">
      <c r="A41" s="126">
        <v>30</v>
      </c>
      <c r="B41" s="129" t="s">
        <v>43</v>
      </c>
      <c r="C41" s="242">
        <f t="shared" si="1"/>
        <v>3.2</v>
      </c>
      <c r="D41" s="73"/>
      <c r="E41" s="129"/>
      <c r="F41" s="73"/>
      <c r="G41" s="71"/>
      <c r="H41" s="121"/>
      <c r="I41" s="71"/>
      <c r="J41" s="71"/>
      <c r="K41" s="73"/>
      <c r="L41" s="71"/>
      <c r="M41" s="121"/>
      <c r="N41" s="71"/>
      <c r="O41" s="121"/>
      <c r="P41" s="273">
        <v>3.2</v>
      </c>
      <c r="Q41" s="63"/>
      <c r="R41" s="64"/>
      <c r="S41" s="64"/>
      <c r="T41" s="65"/>
      <c r="U41" s="62"/>
      <c r="V41" s="66"/>
      <c r="W41" s="66"/>
      <c r="X41" s="8"/>
    </row>
    <row r="42" spans="1:24" ht="12.75">
      <c r="A42" s="126">
        <v>31</v>
      </c>
      <c r="B42" s="129" t="s">
        <v>44</v>
      </c>
      <c r="C42" s="242">
        <f t="shared" si="1"/>
        <v>39</v>
      </c>
      <c r="D42" s="73"/>
      <c r="E42" s="129"/>
      <c r="F42" s="73"/>
      <c r="G42" s="71"/>
      <c r="H42" s="121"/>
      <c r="I42" s="71"/>
      <c r="J42" s="71"/>
      <c r="K42" s="73"/>
      <c r="L42" s="71"/>
      <c r="M42" s="121"/>
      <c r="N42" s="71"/>
      <c r="O42" s="121"/>
      <c r="P42" s="144">
        <v>39</v>
      </c>
      <c r="Q42" s="63"/>
      <c r="R42" s="64"/>
      <c r="S42" s="64"/>
      <c r="T42" s="65"/>
      <c r="U42" s="62"/>
      <c r="V42" s="66"/>
      <c r="W42" s="66"/>
      <c r="X42" s="8"/>
    </row>
    <row r="43" spans="1:24" ht="12.75">
      <c r="A43" s="126">
        <v>32</v>
      </c>
      <c r="B43" s="129" t="s">
        <v>45</v>
      </c>
      <c r="C43" s="242">
        <f t="shared" si="1"/>
        <v>1700</v>
      </c>
      <c r="D43" s="73"/>
      <c r="E43" s="129"/>
      <c r="F43" s="73"/>
      <c r="G43" s="71"/>
      <c r="H43" s="121"/>
      <c r="I43" s="71"/>
      <c r="J43" s="71"/>
      <c r="K43" s="73"/>
      <c r="L43" s="71"/>
      <c r="M43" s="121"/>
      <c r="N43" s="71"/>
      <c r="O43" s="121"/>
      <c r="P43" s="274">
        <v>1700</v>
      </c>
      <c r="Q43" s="63"/>
      <c r="R43" s="64"/>
      <c r="S43" s="64"/>
      <c r="T43" s="65"/>
      <c r="U43" s="62"/>
      <c r="V43" s="66"/>
      <c r="W43" s="66"/>
      <c r="X43" s="8"/>
    </row>
    <row r="44" spans="1:24" ht="12.75">
      <c r="A44" s="126">
        <v>33</v>
      </c>
      <c r="B44" s="129" t="s">
        <v>46</v>
      </c>
      <c r="C44" s="242">
        <f t="shared" si="1"/>
        <v>29000</v>
      </c>
      <c r="D44" s="73"/>
      <c r="E44" s="129"/>
      <c r="F44" s="73"/>
      <c r="G44" s="71"/>
      <c r="H44" s="121"/>
      <c r="I44" s="71"/>
      <c r="J44" s="71"/>
      <c r="K44" s="73"/>
      <c r="L44" s="71"/>
      <c r="M44" s="121"/>
      <c r="N44" s="71"/>
      <c r="O44" s="121"/>
      <c r="P44" s="274">
        <v>29000</v>
      </c>
      <c r="Q44" s="63"/>
      <c r="R44" s="64"/>
      <c r="S44" s="64"/>
      <c r="T44" s="65"/>
      <c r="U44" s="62"/>
      <c r="V44" s="66"/>
      <c r="W44" s="66"/>
      <c r="X44" s="8"/>
    </row>
    <row r="45" spans="1:24" ht="12.75">
      <c r="A45" s="126">
        <v>34</v>
      </c>
      <c r="B45" s="129" t="s">
        <v>47</v>
      </c>
      <c r="C45" s="242">
        <f t="shared" si="1"/>
        <v>4000</v>
      </c>
      <c r="D45" s="73"/>
      <c r="E45" s="129"/>
      <c r="F45" s="73"/>
      <c r="G45" s="71"/>
      <c r="H45" s="121"/>
      <c r="I45" s="71"/>
      <c r="J45" s="71"/>
      <c r="K45" s="73"/>
      <c r="L45" s="71"/>
      <c r="M45" s="121"/>
      <c r="N45" s="71"/>
      <c r="O45" s="121"/>
      <c r="P45" s="274">
        <v>4000</v>
      </c>
      <c r="Q45" s="63"/>
      <c r="R45" s="64"/>
      <c r="S45" s="64"/>
      <c r="T45" s="65"/>
      <c r="U45" s="62"/>
      <c r="V45" s="66"/>
      <c r="W45" s="66"/>
      <c r="X45" s="8"/>
    </row>
    <row r="46" spans="1:24" ht="12.75">
      <c r="A46" s="126">
        <v>35</v>
      </c>
      <c r="B46" s="129" t="s">
        <v>48</v>
      </c>
      <c r="C46" s="248" t="str">
        <f>IF(MIN(D46:P46)=0,"No Criteria",MIN(D46:P46))</f>
        <v>No Criteria</v>
      </c>
      <c r="D46" s="73"/>
      <c r="E46" s="129"/>
      <c r="F46" s="73"/>
      <c r="G46" s="71"/>
      <c r="H46" s="121"/>
      <c r="I46" s="71"/>
      <c r="J46" s="71"/>
      <c r="K46" s="73"/>
      <c r="L46" s="71"/>
      <c r="M46" s="121"/>
      <c r="N46" s="71"/>
      <c r="O46" s="121"/>
      <c r="P46" s="144"/>
      <c r="Q46" s="63"/>
      <c r="R46" s="64"/>
      <c r="S46" s="64"/>
      <c r="T46" s="65"/>
      <c r="U46" s="62"/>
      <c r="V46" s="66"/>
      <c r="W46" s="66"/>
      <c r="X46" s="8"/>
    </row>
    <row r="47" spans="1:24" ht="12.75">
      <c r="A47" s="126">
        <v>36</v>
      </c>
      <c r="B47" s="129" t="s">
        <v>49</v>
      </c>
      <c r="C47" s="242">
        <f>IF(MIN(D47:P47)=0,"  No Criteria",MIN(D47:P47))</f>
        <v>1600</v>
      </c>
      <c r="D47" s="73"/>
      <c r="E47" s="129"/>
      <c r="F47" s="73"/>
      <c r="G47" s="71"/>
      <c r="H47" s="121"/>
      <c r="I47" s="71"/>
      <c r="J47" s="71"/>
      <c r="K47" s="73"/>
      <c r="L47" s="71"/>
      <c r="M47" s="121"/>
      <c r="N47" s="71"/>
      <c r="O47" s="121"/>
      <c r="P47" s="274">
        <v>1600</v>
      </c>
      <c r="Q47" s="63"/>
      <c r="R47" s="64"/>
      <c r="S47" s="64"/>
      <c r="T47" s="65"/>
      <c r="U47" s="62"/>
      <c r="V47" s="66"/>
      <c r="W47" s="66"/>
      <c r="X47" s="8"/>
    </row>
    <row r="48" spans="1:24" ht="12.75">
      <c r="A48" s="126">
        <v>37</v>
      </c>
      <c r="B48" s="129" t="s">
        <v>50</v>
      </c>
      <c r="C48" s="242">
        <f>IF(MIN(D48:P48)=0,"  No Criteria",MIN(D48:P48))</f>
        <v>11</v>
      </c>
      <c r="D48" s="73"/>
      <c r="E48" s="129"/>
      <c r="F48" s="73"/>
      <c r="G48" s="71"/>
      <c r="H48" s="121"/>
      <c r="I48" s="71"/>
      <c r="J48" s="71"/>
      <c r="K48" s="73"/>
      <c r="L48" s="71"/>
      <c r="M48" s="121"/>
      <c r="N48" s="71"/>
      <c r="O48" s="121"/>
      <c r="P48" s="144">
        <v>11</v>
      </c>
      <c r="Q48" s="63"/>
      <c r="R48" s="64"/>
      <c r="S48" s="64"/>
      <c r="T48" s="65"/>
      <c r="U48" s="62"/>
      <c r="V48" s="66"/>
      <c r="W48" s="66"/>
      <c r="X48" s="8"/>
    </row>
    <row r="49" spans="1:24" ht="12.75">
      <c r="A49" s="126">
        <v>38</v>
      </c>
      <c r="B49" s="129" t="s">
        <v>51</v>
      </c>
      <c r="C49" s="242">
        <f>IF(MIN(D49:P49)=0,"  No Criteria",MIN(D49:P49))</f>
        <v>8.85</v>
      </c>
      <c r="D49" s="73"/>
      <c r="E49" s="129"/>
      <c r="F49" s="73"/>
      <c r="G49" s="71"/>
      <c r="H49" s="121"/>
      <c r="I49" s="71"/>
      <c r="J49" s="71"/>
      <c r="K49" s="73"/>
      <c r="L49" s="71"/>
      <c r="M49" s="121"/>
      <c r="N49" s="71"/>
      <c r="O49" s="121"/>
      <c r="P49" s="272">
        <v>8.85</v>
      </c>
      <c r="Q49" s="63"/>
      <c r="R49" s="64"/>
      <c r="S49" s="64"/>
      <c r="T49" s="65"/>
      <c r="U49" s="62"/>
      <c r="V49" s="66"/>
      <c r="W49" s="66"/>
      <c r="X49" s="8"/>
    </row>
    <row r="50" spans="1:24" ht="12.75">
      <c r="A50" s="126">
        <v>39</v>
      </c>
      <c r="B50" s="129" t="s">
        <v>52</v>
      </c>
      <c r="C50" s="242">
        <f>IF(MIN(D50:P50)=0,"  No Criteria",MIN(D50:P50))</f>
        <v>200000</v>
      </c>
      <c r="D50" s="73"/>
      <c r="E50" s="129"/>
      <c r="F50" s="73"/>
      <c r="G50" s="71"/>
      <c r="H50" s="121"/>
      <c r="I50" s="71"/>
      <c r="J50" s="71"/>
      <c r="K50" s="73"/>
      <c r="L50" s="71"/>
      <c r="M50" s="121"/>
      <c r="N50" s="71"/>
      <c r="O50" s="121"/>
      <c r="P50" s="274">
        <v>200000</v>
      </c>
      <c r="Q50" s="63"/>
      <c r="R50" s="64"/>
      <c r="S50" s="64"/>
      <c r="T50" s="65"/>
      <c r="U50" s="62"/>
      <c r="V50" s="66"/>
      <c r="W50" s="66"/>
      <c r="X50" s="8"/>
    </row>
    <row r="51" spans="1:24" ht="12.75">
      <c r="A51" s="126">
        <v>40</v>
      </c>
      <c r="B51" s="129" t="s">
        <v>53</v>
      </c>
      <c r="C51" s="242">
        <f>IF(MIN(D51:P51)=0,"  No Criteria",MIN(D51:P51))</f>
        <v>140000</v>
      </c>
      <c r="D51" s="73"/>
      <c r="E51" s="129"/>
      <c r="F51" s="73"/>
      <c r="G51" s="71"/>
      <c r="H51" s="121"/>
      <c r="I51" s="71"/>
      <c r="J51" s="71"/>
      <c r="K51" s="73"/>
      <c r="L51" s="71"/>
      <c r="M51" s="121"/>
      <c r="N51" s="71"/>
      <c r="O51" s="121"/>
      <c r="P51" s="274">
        <v>140000</v>
      </c>
      <c r="Q51" s="63"/>
      <c r="R51" s="64"/>
      <c r="S51" s="64"/>
      <c r="T51" s="65"/>
      <c r="U51" s="62"/>
      <c r="V51" s="66"/>
      <c r="W51" s="66"/>
      <c r="X51" s="8"/>
    </row>
    <row r="52" spans="1:24" ht="12.75">
      <c r="A52" s="126">
        <v>41</v>
      </c>
      <c r="B52" s="129" t="s">
        <v>54</v>
      </c>
      <c r="C52" s="248" t="str">
        <f>IF(MIN(D52:P52)=0,"No Criteria",MIN(D52:P52))</f>
        <v>No Criteria</v>
      </c>
      <c r="D52" s="73"/>
      <c r="E52" s="129"/>
      <c r="F52" s="73"/>
      <c r="G52" s="71"/>
      <c r="H52" s="121"/>
      <c r="I52" s="71"/>
      <c r="J52" s="71"/>
      <c r="K52" s="73"/>
      <c r="L52" s="71"/>
      <c r="M52" s="121"/>
      <c r="N52" s="71"/>
      <c r="O52" s="121"/>
      <c r="P52" s="144"/>
      <c r="Q52" s="63"/>
      <c r="R52" s="64"/>
      <c r="S52" s="64"/>
      <c r="T52" s="65"/>
      <c r="U52" s="62"/>
      <c r="V52" s="66"/>
      <c r="W52" s="66"/>
      <c r="X52" s="8"/>
    </row>
    <row r="53" spans="1:24" ht="12.75">
      <c r="A53" s="126">
        <v>42</v>
      </c>
      <c r="B53" s="129" t="s">
        <v>55</v>
      </c>
      <c r="C53" s="242">
        <f aca="true" t="shared" si="2" ref="C53:C60">IF(MIN(D53:P53)=0,"  No Criteria",MIN(D53:P53))</f>
        <v>42</v>
      </c>
      <c r="D53" s="73"/>
      <c r="E53" s="129"/>
      <c r="F53" s="73"/>
      <c r="G53" s="71"/>
      <c r="H53" s="121"/>
      <c r="I53" s="71"/>
      <c r="J53" s="71"/>
      <c r="K53" s="73"/>
      <c r="L53" s="71"/>
      <c r="M53" s="121"/>
      <c r="N53" s="71"/>
      <c r="O53" s="121"/>
      <c r="P53" s="144">
        <v>42</v>
      </c>
      <c r="Q53" s="63"/>
      <c r="R53" s="64"/>
      <c r="S53" s="64"/>
      <c r="T53" s="65"/>
      <c r="U53" s="62"/>
      <c r="V53" s="66"/>
      <c r="W53" s="66"/>
      <c r="X53" s="8"/>
    </row>
    <row r="54" spans="1:24" ht="12.75">
      <c r="A54" s="126">
        <v>43</v>
      </c>
      <c r="B54" s="129" t="s">
        <v>56</v>
      </c>
      <c r="C54" s="242">
        <f t="shared" si="2"/>
        <v>81</v>
      </c>
      <c r="D54" s="73"/>
      <c r="E54" s="129"/>
      <c r="F54" s="73"/>
      <c r="G54" s="71"/>
      <c r="H54" s="121"/>
      <c r="I54" s="71"/>
      <c r="J54" s="71"/>
      <c r="K54" s="73"/>
      <c r="L54" s="71"/>
      <c r="M54" s="121"/>
      <c r="N54" s="71"/>
      <c r="O54" s="121"/>
      <c r="P54" s="144">
        <v>81</v>
      </c>
      <c r="Q54" s="63"/>
      <c r="R54" s="64"/>
      <c r="S54" s="64"/>
      <c r="T54" s="65"/>
      <c r="U54" s="62"/>
      <c r="V54" s="66"/>
      <c r="W54" s="66"/>
      <c r="X54" s="8"/>
    </row>
    <row r="55" spans="1:24" ht="12.75">
      <c r="A55" s="126">
        <v>44</v>
      </c>
      <c r="B55" s="129" t="s">
        <v>57</v>
      </c>
      <c r="C55" s="242">
        <f t="shared" si="2"/>
        <v>525</v>
      </c>
      <c r="D55" s="73"/>
      <c r="E55" s="129"/>
      <c r="F55" s="73"/>
      <c r="G55" s="71"/>
      <c r="H55" s="121"/>
      <c r="I55" s="71"/>
      <c r="J55" s="71"/>
      <c r="K55" s="73"/>
      <c r="L55" s="71"/>
      <c r="M55" s="121"/>
      <c r="N55" s="71"/>
      <c r="O55" s="121"/>
      <c r="P55" s="144">
        <v>525</v>
      </c>
      <c r="Q55" s="63"/>
      <c r="R55" s="64"/>
      <c r="S55" s="64"/>
      <c r="T55" s="65"/>
      <c r="U55" s="62"/>
      <c r="V55" s="66"/>
      <c r="W55" s="66"/>
      <c r="X55" s="8"/>
    </row>
    <row r="56" spans="1:24" ht="12.75">
      <c r="A56" s="126">
        <v>45</v>
      </c>
      <c r="B56" s="129" t="s">
        <v>215</v>
      </c>
      <c r="C56" s="242">
        <f t="shared" si="2"/>
        <v>400</v>
      </c>
      <c r="D56" s="73"/>
      <c r="E56" s="129"/>
      <c r="F56" s="73"/>
      <c r="G56" s="71"/>
      <c r="H56" s="121"/>
      <c r="I56" s="71"/>
      <c r="J56" s="71"/>
      <c r="K56" s="73"/>
      <c r="L56" s="71"/>
      <c r="M56" s="121"/>
      <c r="N56" s="71"/>
      <c r="O56" s="121"/>
      <c r="P56" s="144">
        <v>400</v>
      </c>
      <c r="Q56" s="63"/>
      <c r="R56" s="64"/>
      <c r="S56" s="64"/>
      <c r="T56" s="65"/>
      <c r="U56" s="62"/>
      <c r="V56" s="66"/>
      <c r="W56" s="66"/>
      <c r="X56" s="8"/>
    </row>
    <row r="57" spans="1:24" ht="12.75">
      <c r="A57" s="126">
        <v>46</v>
      </c>
      <c r="B57" s="129" t="s">
        <v>59</v>
      </c>
      <c r="C57" s="242">
        <f t="shared" si="2"/>
        <v>790</v>
      </c>
      <c r="D57" s="73"/>
      <c r="E57" s="129"/>
      <c r="F57" s="73"/>
      <c r="G57" s="71"/>
      <c r="H57" s="121"/>
      <c r="I57" s="71"/>
      <c r="J57" s="71"/>
      <c r="K57" s="73"/>
      <c r="L57" s="71"/>
      <c r="M57" s="121"/>
      <c r="N57" s="71"/>
      <c r="O57" s="121"/>
      <c r="P57" s="144">
        <v>790</v>
      </c>
      <c r="Q57" s="63"/>
      <c r="R57" s="64"/>
      <c r="S57" s="64"/>
      <c r="T57" s="65"/>
      <c r="U57" s="62"/>
      <c r="V57" s="66"/>
      <c r="W57" s="66"/>
      <c r="X57" s="8"/>
    </row>
    <row r="58" spans="1:24" ht="12.75">
      <c r="A58" s="126">
        <v>47</v>
      </c>
      <c r="B58" s="129" t="s">
        <v>60</v>
      </c>
      <c r="C58" s="242">
        <f t="shared" si="2"/>
        <v>2300</v>
      </c>
      <c r="D58" s="73"/>
      <c r="E58" s="129"/>
      <c r="F58" s="73"/>
      <c r="G58" s="71"/>
      <c r="H58" s="121"/>
      <c r="I58" s="71"/>
      <c r="J58" s="71"/>
      <c r="K58" s="73"/>
      <c r="L58" s="71"/>
      <c r="M58" s="121"/>
      <c r="N58" s="71"/>
      <c r="O58" s="121"/>
      <c r="P58" s="274">
        <v>2300</v>
      </c>
      <c r="Q58" s="63"/>
      <c r="R58" s="64"/>
      <c r="S58" s="64"/>
      <c r="T58" s="65"/>
      <c r="U58" s="62"/>
      <c r="V58" s="66"/>
      <c r="W58" s="66"/>
      <c r="X58" s="8"/>
    </row>
    <row r="59" spans="1:24" ht="12.75">
      <c r="A59" s="126">
        <v>48</v>
      </c>
      <c r="B59" s="129" t="s">
        <v>216</v>
      </c>
      <c r="C59" s="242">
        <f t="shared" si="2"/>
        <v>765</v>
      </c>
      <c r="D59" s="73"/>
      <c r="E59" s="129"/>
      <c r="F59" s="73"/>
      <c r="G59" s="71"/>
      <c r="H59" s="121"/>
      <c r="I59" s="71"/>
      <c r="J59" s="71"/>
      <c r="K59" s="73"/>
      <c r="L59" s="71"/>
      <c r="M59" s="121"/>
      <c r="N59" s="71"/>
      <c r="O59" s="121"/>
      <c r="P59" s="144">
        <v>765</v>
      </c>
      <c r="Q59" s="63"/>
      <c r="R59" s="64"/>
      <c r="S59" s="64"/>
      <c r="T59" s="65"/>
      <c r="U59" s="62"/>
      <c r="V59" s="66"/>
      <c r="W59" s="66"/>
      <c r="X59" s="8"/>
    </row>
    <row r="60" spans="1:24" ht="12.75">
      <c r="A60" s="126">
        <v>49</v>
      </c>
      <c r="B60" s="129" t="s">
        <v>62</v>
      </c>
      <c r="C60" s="242">
        <f t="shared" si="2"/>
        <v>14000</v>
      </c>
      <c r="D60" s="73"/>
      <c r="E60" s="129"/>
      <c r="F60" s="73"/>
      <c r="G60" s="71"/>
      <c r="H60" s="121"/>
      <c r="I60" s="71"/>
      <c r="J60" s="71"/>
      <c r="K60" s="73"/>
      <c r="L60" s="71"/>
      <c r="M60" s="121"/>
      <c r="N60" s="71"/>
      <c r="O60" s="121"/>
      <c r="P60" s="274">
        <v>14000</v>
      </c>
      <c r="Q60" s="63"/>
      <c r="R60" s="64"/>
      <c r="S60" s="64"/>
      <c r="T60" s="65"/>
      <c r="U60" s="62"/>
      <c r="V60" s="66"/>
      <c r="W60" s="66"/>
      <c r="X60" s="8"/>
    </row>
    <row r="61" spans="1:24" ht="12.75">
      <c r="A61" s="126">
        <v>50</v>
      </c>
      <c r="B61" s="129" t="s">
        <v>63</v>
      </c>
      <c r="C61" s="248" t="str">
        <f>IF(MIN(D61:P61)=0,"No Criteria",MIN(D61:P61))</f>
        <v>No Criteria</v>
      </c>
      <c r="D61" s="73"/>
      <c r="E61" s="129"/>
      <c r="F61" s="73"/>
      <c r="G61" s="71"/>
      <c r="H61" s="121"/>
      <c r="I61" s="71"/>
      <c r="J61" s="71"/>
      <c r="K61" s="73"/>
      <c r="L61" s="71"/>
      <c r="M61" s="121"/>
      <c r="N61" s="71"/>
      <c r="O61" s="121"/>
      <c r="P61" s="144"/>
      <c r="Q61" s="63"/>
      <c r="R61" s="64"/>
      <c r="S61" s="64"/>
      <c r="T61" s="65"/>
      <c r="U61" s="62"/>
      <c r="V61" s="66"/>
      <c r="W61" s="66"/>
      <c r="X61" s="8"/>
    </row>
    <row r="62" spans="1:24" ht="12.75">
      <c r="A62" s="126">
        <v>51</v>
      </c>
      <c r="B62" s="129" t="s">
        <v>64</v>
      </c>
      <c r="C62" s="248" t="str">
        <f>IF(MIN(D62:P62)=0,"No Criteria",MIN(D62:P62))</f>
        <v>No Criteria</v>
      </c>
      <c r="D62" s="73"/>
      <c r="E62" s="129"/>
      <c r="F62" s="73"/>
      <c r="G62" s="71"/>
      <c r="H62" s="121"/>
      <c r="I62" s="71"/>
      <c r="J62" s="71"/>
      <c r="K62" s="73"/>
      <c r="L62" s="71"/>
      <c r="M62" s="121"/>
      <c r="N62" s="71"/>
      <c r="O62" s="121"/>
      <c r="P62" s="144"/>
      <c r="Q62" s="63"/>
      <c r="R62" s="64"/>
      <c r="S62" s="64"/>
      <c r="T62" s="65"/>
      <c r="U62" s="62"/>
      <c r="V62" s="66"/>
      <c r="W62" s="66"/>
      <c r="X62" s="8"/>
    </row>
    <row r="63" spans="1:24" ht="12.75">
      <c r="A63" s="126">
        <v>52</v>
      </c>
      <c r="B63" s="129" t="s">
        <v>217</v>
      </c>
      <c r="C63" s="248" t="str">
        <f>IF(MIN(D63:P63)=0,"No Criteria",MIN(D63:P63))</f>
        <v>No Criteria</v>
      </c>
      <c r="D63" s="73"/>
      <c r="E63" s="129"/>
      <c r="F63" s="73"/>
      <c r="G63" s="71"/>
      <c r="H63" s="121"/>
      <c r="I63" s="71"/>
      <c r="J63" s="71"/>
      <c r="K63" s="73"/>
      <c r="L63" s="71"/>
      <c r="M63" s="121"/>
      <c r="N63" s="71"/>
      <c r="O63" s="121"/>
      <c r="P63" s="144"/>
      <c r="Q63" s="63"/>
      <c r="R63" s="64"/>
      <c r="S63" s="64"/>
      <c r="T63" s="65"/>
      <c r="U63" s="62"/>
      <c r="V63" s="66"/>
      <c r="W63" s="66"/>
      <c r="X63" s="8"/>
    </row>
    <row r="64" spans="1:24" ht="12.75">
      <c r="A64" s="126">
        <v>53</v>
      </c>
      <c r="B64" s="129" t="s">
        <v>66</v>
      </c>
      <c r="C64" s="242">
        <f>IF(MIN(D64:P64)=0,"  No Criteria",MIN(D64:P64))</f>
        <v>7.9</v>
      </c>
      <c r="D64" s="73"/>
      <c r="E64" s="129"/>
      <c r="F64" s="73"/>
      <c r="G64" s="71"/>
      <c r="H64" s="121"/>
      <c r="I64" s="71"/>
      <c r="J64" s="71"/>
      <c r="K64" s="238">
        <f>EXP(1.005*($C$3)-4.869)</f>
        <v>19.491919596031096</v>
      </c>
      <c r="L64" s="239">
        <f>EXP(1.005*($C$3)-5.134)</f>
        <v>14.954316690526026</v>
      </c>
      <c r="M64" s="172">
        <v>13</v>
      </c>
      <c r="N64" s="152">
        <v>7.9</v>
      </c>
      <c r="O64" s="170"/>
      <c r="P64" s="273">
        <v>8.2</v>
      </c>
      <c r="Q64" s="63"/>
      <c r="R64" s="64"/>
      <c r="S64" s="64"/>
      <c r="T64" s="65"/>
      <c r="U64" s="62"/>
      <c r="V64" s="66"/>
      <c r="W64" s="66"/>
      <c r="X64" s="8"/>
    </row>
    <row r="65" spans="1:24" ht="12.75">
      <c r="A65" s="126">
        <v>54</v>
      </c>
      <c r="B65" s="129" t="s">
        <v>67</v>
      </c>
      <c r="C65" s="242">
        <f>IF(MIN(D65:P65)=0,"  No Criteria",MIN(D65:P65))</f>
        <v>4600000</v>
      </c>
      <c r="D65" s="73"/>
      <c r="E65" s="146"/>
      <c r="F65" s="73"/>
      <c r="G65" s="71"/>
      <c r="H65" s="121"/>
      <c r="I65" s="71"/>
      <c r="J65" s="71"/>
      <c r="K65" s="73"/>
      <c r="L65" s="71"/>
      <c r="M65" s="121"/>
      <c r="N65" s="71"/>
      <c r="O65" s="121"/>
      <c r="P65" s="274">
        <v>4600000</v>
      </c>
      <c r="Q65" s="63"/>
      <c r="R65" s="64"/>
      <c r="S65" s="64"/>
      <c r="T65" s="65"/>
      <c r="U65" s="62"/>
      <c r="V65" s="66"/>
      <c r="W65" s="66"/>
      <c r="X65" s="8"/>
    </row>
    <row r="66" spans="1:24" ht="12.75">
      <c r="A66" s="126">
        <v>55</v>
      </c>
      <c r="B66" s="129" t="s">
        <v>68</v>
      </c>
      <c r="C66" s="242">
        <f>IF(MIN(D66:P66)=0,"  No Criteria",MIN(D66:P66))</f>
        <v>6.5</v>
      </c>
      <c r="D66" s="73"/>
      <c r="E66" s="129"/>
      <c r="F66" s="73"/>
      <c r="G66" s="71"/>
      <c r="H66" s="121"/>
      <c r="I66" s="71"/>
      <c r="J66" s="71"/>
      <c r="K66" s="73"/>
      <c r="L66" s="71"/>
      <c r="M66" s="121"/>
      <c r="N66" s="71"/>
      <c r="O66" s="121"/>
      <c r="P66" s="273">
        <v>6.5</v>
      </c>
      <c r="Q66" s="63"/>
      <c r="R66" s="64"/>
      <c r="S66" s="64"/>
      <c r="T66" s="65"/>
      <c r="U66" s="62"/>
      <c r="V66" s="66"/>
      <c r="W66" s="66"/>
      <c r="X66" s="8"/>
    </row>
    <row r="67" spans="1:24" ht="12.75">
      <c r="A67" s="126">
        <v>56</v>
      </c>
      <c r="B67" s="129" t="s">
        <v>69</v>
      </c>
      <c r="C67" s="242">
        <f>IF(MIN(D67:P67)=0,"  No Criteria",MIN(D67:P67))</f>
        <v>2700</v>
      </c>
      <c r="D67" s="73"/>
      <c r="E67" s="129"/>
      <c r="F67" s="73"/>
      <c r="G67" s="71"/>
      <c r="H67" s="121"/>
      <c r="I67" s="71"/>
      <c r="J67" s="71"/>
      <c r="K67" s="73"/>
      <c r="L67" s="71"/>
      <c r="M67" s="121"/>
      <c r="N67" s="71"/>
      <c r="O67" s="121"/>
      <c r="P67" s="274">
        <v>2700</v>
      </c>
      <c r="Q67" s="63"/>
      <c r="R67" s="64"/>
      <c r="S67" s="64"/>
      <c r="T67" s="65"/>
      <c r="U67" s="62"/>
      <c r="V67" s="66"/>
      <c r="W67" s="66"/>
      <c r="X67" s="8"/>
    </row>
    <row r="68" spans="1:24" ht="12.75">
      <c r="A68" s="126">
        <v>57</v>
      </c>
      <c r="B68" s="129" t="s">
        <v>218</v>
      </c>
      <c r="C68" s="248" t="str">
        <f>IF(MIN(D68:P68)=0,"No Criteria",MIN(D68:P68))</f>
        <v>No Criteria</v>
      </c>
      <c r="D68" s="73"/>
      <c r="E68" s="129"/>
      <c r="F68" s="73"/>
      <c r="G68" s="71"/>
      <c r="H68" s="121"/>
      <c r="I68" s="71"/>
      <c r="J68" s="71"/>
      <c r="K68" s="73"/>
      <c r="L68" s="71"/>
      <c r="M68" s="121"/>
      <c r="N68" s="71"/>
      <c r="O68" s="121"/>
      <c r="P68" s="144"/>
      <c r="Q68" s="63"/>
      <c r="R68" s="64"/>
      <c r="S68" s="64"/>
      <c r="T68" s="65"/>
      <c r="U68" s="62"/>
      <c r="V68" s="66"/>
      <c r="W68" s="66"/>
      <c r="X68" s="8"/>
    </row>
    <row r="69" spans="1:24" ht="12.75">
      <c r="A69" s="126">
        <v>58</v>
      </c>
      <c r="B69" s="129" t="s">
        <v>71</v>
      </c>
      <c r="C69" s="242">
        <f>IF(MIN(D69:P69)=0,"  No Criteria",MIN(D69:P69))</f>
        <v>110000</v>
      </c>
      <c r="D69" s="73"/>
      <c r="E69" s="129"/>
      <c r="F69" s="73"/>
      <c r="G69" s="71"/>
      <c r="H69" s="121"/>
      <c r="I69" s="71"/>
      <c r="J69" s="71"/>
      <c r="K69" s="73"/>
      <c r="L69" s="71"/>
      <c r="M69" s="121"/>
      <c r="N69" s="71"/>
      <c r="O69" s="121"/>
      <c r="P69" s="274">
        <v>110000</v>
      </c>
      <c r="Q69" s="63"/>
      <c r="R69" s="64"/>
      <c r="S69" s="64"/>
      <c r="T69" s="65"/>
      <c r="U69" s="62"/>
      <c r="V69" s="66"/>
      <c r="W69" s="66"/>
      <c r="X69" s="8"/>
    </row>
    <row r="70" spans="1:24" ht="12.75">
      <c r="A70" s="126">
        <v>59</v>
      </c>
      <c r="B70" s="129" t="s">
        <v>72</v>
      </c>
      <c r="C70" s="242">
        <f>IF(MIN(D70:P70)=0,"  No Criteria",MIN(D70:P70))</f>
        <v>0.00054</v>
      </c>
      <c r="D70" s="73"/>
      <c r="E70" s="129"/>
      <c r="F70" s="73"/>
      <c r="G70" s="71"/>
      <c r="H70" s="121"/>
      <c r="I70" s="71"/>
      <c r="J70" s="71"/>
      <c r="K70" s="73"/>
      <c r="L70" s="71"/>
      <c r="M70" s="121"/>
      <c r="N70" s="71"/>
      <c r="O70" s="121"/>
      <c r="P70" s="275">
        <v>0.00054</v>
      </c>
      <c r="Q70" s="63"/>
      <c r="R70" s="64"/>
      <c r="S70" s="64"/>
      <c r="T70" s="65"/>
      <c r="U70" s="62"/>
      <c r="V70" s="66"/>
      <c r="W70" s="66"/>
      <c r="X70" s="8"/>
    </row>
    <row r="71" spans="1:24" s="11" customFormat="1" ht="12.75">
      <c r="A71" s="126">
        <v>60</v>
      </c>
      <c r="B71" s="129" t="s">
        <v>73</v>
      </c>
      <c r="C71" s="242">
        <f>IF(MIN(D71:P71)=0,"  No Criteria",MIN(D71:P71))</f>
        <v>0.049</v>
      </c>
      <c r="D71" s="73"/>
      <c r="E71" s="147"/>
      <c r="F71" s="159"/>
      <c r="G71" s="160"/>
      <c r="H71" s="178"/>
      <c r="I71" s="160"/>
      <c r="J71" s="160"/>
      <c r="K71" s="159"/>
      <c r="L71" s="160"/>
      <c r="M71" s="178"/>
      <c r="N71" s="160"/>
      <c r="O71" s="178"/>
      <c r="P71" s="110">
        <v>0.049</v>
      </c>
      <c r="Q71" s="76"/>
      <c r="R71" s="77"/>
      <c r="S71" s="77"/>
      <c r="T71" s="78"/>
      <c r="U71" s="75"/>
      <c r="V71" s="14"/>
      <c r="W71" s="14"/>
      <c r="X71" s="15"/>
    </row>
    <row r="72" spans="1:24" s="11" customFormat="1" ht="12.75">
      <c r="A72" s="126">
        <v>61</v>
      </c>
      <c r="B72" s="129" t="s">
        <v>74</v>
      </c>
      <c r="C72" s="242">
        <f>IF(MIN(D72:P72)=0,"  No Criteria",MIN(D72:P72))</f>
        <v>0.049</v>
      </c>
      <c r="D72" s="73"/>
      <c r="E72" s="147"/>
      <c r="F72" s="159"/>
      <c r="G72" s="160"/>
      <c r="H72" s="178"/>
      <c r="I72" s="160"/>
      <c r="J72" s="160"/>
      <c r="K72" s="159"/>
      <c r="L72" s="160"/>
      <c r="M72" s="178"/>
      <c r="N72" s="160"/>
      <c r="O72" s="178"/>
      <c r="P72" s="110">
        <v>0.049</v>
      </c>
      <c r="Q72" s="76"/>
      <c r="R72" s="77"/>
      <c r="S72" s="77"/>
      <c r="T72" s="78"/>
      <c r="U72" s="75"/>
      <c r="V72" s="14"/>
      <c r="W72" s="14"/>
      <c r="X72" s="15"/>
    </row>
    <row r="73" spans="1:24" s="11" customFormat="1" ht="12.75">
      <c r="A73" s="126">
        <v>62</v>
      </c>
      <c r="B73" s="129" t="s">
        <v>75</v>
      </c>
      <c r="C73" s="242">
        <f>IF(MIN(D73:P73)=0,"  No Criteria",MIN(D73:P73))</f>
        <v>0.049</v>
      </c>
      <c r="D73" s="73"/>
      <c r="E73" s="147"/>
      <c r="F73" s="159"/>
      <c r="G73" s="160"/>
      <c r="H73" s="178"/>
      <c r="I73" s="160"/>
      <c r="J73" s="160"/>
      <c r="K73" s="159"/>
      <c r="L73" s="160"/>
      <c r="M73" s="178"/>
      <c r="N73" s="160"/>
      <c r="O73" s="178"/>
      <c r="P73" s="110">
        <v>0.049</v>
      </c>
      <c r="Q73" s="76"/>
      <c r="R73" s="77"/>
      <c r="S73" s="77"/>
      <c r="T73" s="78"/>
      <c r="U73" s="75"/>
      <c r="V73" s="14"/>
      <c r="W73" s="14"/>
      <c r="X73" s="15"/>
    </row>
    <row r="74" spans="1:24" ht="12.75">
      <c r="A74" s="126">
        <v>63</v>
      </c>
      <c r="B74" s="129" t="s">
        <v>76</v>
      </c>
      <c r="C74" s="248" t="str">
        <f>IF(MIN(D74:P74)=0,"No Criteria",MIN(D74:P74))</f>
        <v>No Criteria</v>
      </c>
      <c r="D74" s="73"/>
      <c r="E74" s="129"/>
      <c r="F74" s="73"/>
      <c r="G74" s="71"/>
      <c r="H74" s="121"/>
      <c r="I74" s="71"/>
      <c r="J74" s="71"/>
      <c r="K74" s="73"/>
      <c r="L74" s="71"/>
      <c r="M74" s="121"/>
      <c r="N74" s="71"/>
      <c r="O74" s="121"/>
      <c r="P74" s="72"/>
      <c r="Q74" s="63"/>
      <c r="R74" s="64"/>
      <c r="S74" s="64"/>
      <c r="T74" s="65"/>
      <c r="U74" s="62"/>
      <c r="V74" s="66"/>
      <c r="W74" s="66"/>
      <c r="X74" s="8"/>
    </row>
    <row r="75" spans="1:24" s="11" customFormat="1" ht="12.75">
      <c r="A75" s="126">
        <v>64</v>
      </c>
      <c r="B75" s="129" t="s">
        <v>77</v>
      </c>
      <c r="C75" s="242">
        <f>IF(MIN(D75:P75)=0,"  No Criteria",MIN(D75:P75))</f>
        <v>0.049</v>
      </c>
      <c r="D75" s="73"/>
      <c r="E75" s="147"/>
      <c r="F75" s="159"/>
      <c r="G75" s="160"/>
      <c r="H75" s="178"/>
      <c r="I75" s="160"/>
      <c r="J75" s="160"/>
      <c r="K75" s="159"/>
      <c r="L75" s="160"/>
      <c r="M75" s="178"/>
      <c r="N75" s="160"/>
      <c r="O75" s="178"/>
      <c r="P75" s="110">
        <v>0.049</v>
      </c>
      <c r="Q75" s="76"/>
      <c r="R75" s="77"/>
      <c r="S75" s="77"/>
      <c r="T75" s="78"/>
      <c r="U75" s="75"/>
      <c r="V75" s="14"/>
      <c r="W75" s="14"/>
      <c r="X75" s="15"/>
    </row>
    <row r="76" spans="1:24" ht="12.75">
      <c r="A76" s="126">
        <v>65</v>
      </c>
      <c r="B76" s="129" t="s">
        <v>78</v>
      </c>
      <c r="C76" s="248" t="str">
        <f>IF(MIN(D76:P76)=0,"No Criteria",MIN(D76:P76))</f>
        <v>No Criteria</v>
      </c>
      <c r="D76" s="73"/>
      <c r="E76" s="129"/>
      <c r="F76" s="73"/>
      <c r="G76" s="71"/>
      <c r="H76" s="121"/>
      <c r="I76" s="71"/>
      <c r="J76" s="71"/>
      <c r="K76" s="73"/>
      <c r="L76" s="71"/>
      <c r="M76" s="121"/>
      <c r="N76" s="71"/>
      <c r="O76" s="121"/>
      <c r="P76" s="72"/>
      <c r="Q76" s="63"/>
      <c r="R76" s="64"/>
      <c r="S76" s="64"/>
      <c r="T76" s="65"/>
      <c r="U76" s="62"/>
      <c r="V76" s="66"/>
      <c r="W76" s="66"/>
      <c r="X76" s="8"/>
    </row>
    <row r="77" spans="1:24" ht="12.75">
      <c r="A77" s="126">
        <v>66</v>
      </c>
      <c r="B77" s="129" t="s">
        <v>79</v>
      </c>
      <c r="C77" s="242">
        <f>IF(MIN(D77:P77)=0,"  No Criteria",MIN(D77:P77))</f>
        <v>1.4</v>
      </c>
      <c r="D77" s="73"/>
      <c r="E77" s="129"/>
      <c r="F77" s="73"/>
      <c r="G77" s="71"/>
      <c r="H77" s="121"/>
      <c r="I77" s="71"/>
      <c r="J77" s="71"/>
      <c r="K77" s="73"/>
      <c r="L77" s="71"/>
      <c r="M77" s="121"/>
      <c r="N77" s="71"/>
      <c r="O77" s="121"/>
      <c r="P77" s="273">
        <v>1.4</v>
      </c>
      <c r="Q77" s="63"/>
      <c r="R77" s="64"/>
      <c r="S77" s="64"/>
      <c r="T77" s="65"/>
      <c r="U77" s="62"/>
      <c r="V77" s="66"/>
      <c r="W77" s="66"/>
      <c r="X77" s="8"/>
    </row>
    <row r="78" spans="1:24" ht="12.75">
      <c r="A78" s="126">
        <v>67</v>
      </c>
      <c r="B78" s="129" t="s">
        <v>80</v>
      </c>
      <c r="C78" s="242">
        <f>IF(MIN(D78:P78)=0,"  No Criteria",MIN(D78:P78))</f>
        <v>170000</v>
      </c>
      <c r="D78" s="73"/>
      <c r="E78" s="129"/>
      <c r="F78" s="73"/>
      <c r="G78" s="71"/>
      <c r="H78" s="121"/>
      <c r="I78" s="71"/>
      <c r="J78" s="71"/>
      <c r="K78" s="73"/>
      <c r="L78" s="71"/>
      <c r="M78" s="121"/>
      <c r="N78" s="71"/>
      <c r="O78" s="121"/>
      <c r="P78" s="274">
        <v>170000</v>
      </c>
      <c r="Q78" s="63"/>
      <c r="R78" s="64"/>
      <c r="S78" s="64"/>
      <c r="T78" s="65"/>
      <c r="U78" s="62"/>
      <c r="V78" s="66"/>
      <c r="W78" s="66"/>
      <c r="X78" s="8"/>
    </row>
    <row r="79" spans="1:24" ht="12.75">
      <c r="A79" s="126">
        <v>68</v>
      </c>
      <c r="B79" s="129" t="s">
        <v>81</v>
      </c>
      <c r="C79" s="242">
        <f>IF(MIN(D79:P79)=0,"  No Criteria",MIN(D79:P79))</f>
        <v>5.9</v>
      </c>
      <c r="D79" s="73"/>
      <c r="E79" s="129"/>
      <c r="F79" s="73"/>
      <c r="G79" s="71"/>
      <c r="H79" s="121"/>
      <c r="I79" s="71"/>
      <c r="J79" s="71"/>
      <c r="K79" s="73"/>
      <c r="L79" s="71"/>
      <c r="M79" s="121"/>
      <c r="N79" s="71"/>
      <c r="O79" s="121"/>
      <c r="P79" s="273">
        <v>5.9</v>
      </c>
      <c r="Q79" s="63"/>
      <c r="R79" s="64"/>
      <c r="S79" s="64"/>
      <c r="T79" s="65"/>
      <c r="U79" s="62"/>
      <c r="V79" s="66"/>
      <c r="W79" s="66"/>
      <c r="X79" s="8"/>
    </row>
    <row r="80" spans="1:24" ht="12.75">
      <c r="A80" s="126">
        <v>69</v>
      </c>
      <c r="B80" s="129" t="s">
        <v>82</v>
      </c>
      <c r="C80" s="248" t="str">
        <f>IF(MIN(D80:P80)=0,"No Criteria",MIN(D80:P80))</f>
        <v>No Criteria</v>
      </c>
      <c r="D80" s="73"/>
      <c r="E80" s="129"/>
      <c r="F80" s="73"/>
      <c r="G80" s="71"/>
      <c r="H80" s="121"/>
      <c r="I80" s="71"/>
      <c r="J80" s="71"/>
      <c r="K80" s="73"/>
      <c r="L80" s="71"/>
      <c r="M80" s="121"/>
      <c r="N80" s="71"/>
      <c r="O80" s="121"/>
      <c r="P80" s="72"/>
      <c r="Q80" s="63"/>
      <c r="R80" s="64"/>
      <c r="S80" s="64"/>
      <c r="T80" s="65"/>
      <c r="U80" s="62"/>
      <c r="V80" s="66"/>
      <c r="W80" s="66"/>
      <c r="X80" s="8"/>
    </row>
    <row r="81" spans="1:24" ht="12.75">
      <c r="A81" s="126">
        <v>70</v>
      </c>
      <c r="B81" s="129" t="s">
        <v>83</v>
      </c>
      <c r="C81" s="242">
        <f>IF(MIN(D81:P81)=0,"  No Criteria",MIN(D81:P81))</f>
        <v>5200</v>
      </c>
      <c r="D81" s="73"/>
      <c r="E81" s="129"/>
      <c r="F81" s="73"/>
      <c r="G81" s="71"/>
      <c r="H81" s="121"/>
      <c r="I81" s="71"/>
      <c r="J81" s="71"/>
      <c r="K81" s="73"/>
      <c r="L81" s="71"/>
      <c r="M81" s="121"/>
      <c r="N81" s="71"/>
      <c r="O81" s="121"/>
      <c r="P81" s="274">
        <v>5200</v>
      </c>
      <c r="Q81" s="63"/>
      <c r="R81" s="64"/>
      <c r="S81" s="64"/>
      <c r="T81" s="65"/>
      <c r="U81" s="62"/>
      <c r="V81" s="66"/>
      <c r="W81" s="66"/>
      <c r="X81" s="8"/>
    </row>
    <row r="82" spans="1:24" ht="12.75">
      <c r="A82" s="126">
        <v>71</v>
      </c>
      <c r="B82" s="129" t="s">
        <v>84</v>
      </c>
      <c r="C82" s="242">
        <f>IF(MIN(D82:P82)=0,"  No Criteria",MIN(D82:P82))</f>
        <v>4300</v>
      </c>
      <c r="D82" s="73"/>
      <c r="E82" s="129"/>
      <c r="F82" s="73"/>
      <c r="G82" s="71"/>
      <c r="H82" s="121"/>
      <c r="I82" s="71"/>
      <c r="J82" s="71"/>
      <c r="K82" s="73"/>
      <c r="L82" s="71"/>
      <c r="M82" s="121"/>
      <c r="N82" s="71"/>
      <c r="O82" s="121"/>
      <c r="P82" s="274">
        <v>4300</v>
      </c>
      <c r="Q82" s="63"/>
      <c r="R82" s="64"/>
      <c r="S82" s="64"/>
      <c r="T82" s="65"/>
      <c r="U82" s="62"/>
      <c r="V82" s="66"/>
      <c r="W82" s="66"/>
      <c r="X82" s="8"/>
    </row>
    <row r="83" spans="1:24" ht="12.75">
      <c r="A83" s="126">
        <v>72</v>
      </c>
      <c r="B83" s="129" t="s">
        <v>85</v>
      </c>
      <c r="C83" s="248" t="str">
        <f>IF(MIN(D83:P83)=0,"No Criteria",MIN(D83:P83))</f>
        <v>No Criteria</v>
      </c>
      <c r="D83" s="73"/>
      <c r="E83" s="129"/>
      <c r="F83" s="73"/>
      <c r="G83" s="71"/>
      <c r="H83" s="121"/>
      <c r="I83" s="71"/>
      <c r="J83" s="71"/>
      <c r="K83" s="73"/>
      <c r="L83" s="71"/>
      <c r="M83" s="121"/>
      <c r="N83" s="71"/>
      <c r="O83" s="121"/>
      <c r="P83" s="72"/>
      <c r="Q83" s="63"/>
      <c r="R83" s="64"/>
      <c r="S83" s="64"/>
      <c r="T83" s="65"/>
      <c r="U83" s="62"/>
      <c r="V83" s="66"/>
      <c r="W83" s="66"/>
      <c r="X83" s="8"/>
    </row>
    <row r="84" spans="1:24" s="11" customFormat="1" ht="12.75">
      <c r="A84" s="131">
        <v>73</v>
      </c>
      <c r="B84" s="129" t="s">
        <v>86</v>
      </c>
      <c r="C84" s="242">
        <f aca="true" t="shared" si="3" ref="C84:C93">IF(MIN(D84:P84)=0,"  No Criteria",MIN(D84:P84))</f>
        <v>0.049</v>
      </c>
      <c r="D84" s="73"/>
      <c r="E84" s="147"/>
      <c r="F84" s="159"/>
      <c r="G84" s="160"/>
      <c r="H84" s="178"/>
      <c r="I84" s="160"/>
      <c r="J84" s="160"/>
      <c r="K84" s="159"/>
      <c r="L84" s="160"/>
      <c r="M84" s="178"/>
      <c r="N84" s="160"/>
      <c r="O84" s="178"/>
      <c r="P84" s="110">
        <v>0.049</v>
      </c>
      <c r="Q84" s="76"/>
      <c r="R84" s="77"/>
      <c r="S84" s="77"/>
      <c r="T84" s="78"/>
      <c r="U84" s="75"/>
      <c r="V84" s="14"/>
      <c r="W84" s="14"/>
      <c r="X84" s="15"/>
    </row>
    <row r="85" spans="1:24" s="11" customFormat="1" ht="12.75">
      <c r="A85" s="131">
        <v>74</v>
      </c>
      <c r="B85" s="129" t="s">
        <v>87</v>
      </c>
      <c r="C85" s="242">
        <f t="shared" si="3"/>
        <v>0.049</v>
      </c>
      <c r="D85" s="73"/>
      <c r="E85" s="147"/>
      <c r="F85" s="159"/>
      <c r="G85" s="160"/>
      <c r="H85" s="178"/>
      <c r="I85" s="160"/>
      <c r="J85" s="160"/>
      <c r="K85" s="159"/>
      <c r="L85" s="160"/>
      <c r="M85" s="178"/>
      <c r="N85" s="160"/>
      <c r="O85" s="178"/>
      <c r="P85" s="110">
        <v>0.049</v>
      </c>
      <c r="Q85" s="76"/>
      <c r="R85" s="77"/>
      <c r="S85" s="77"/>
      <c r="T85" s="78"/>
      <c r="U85" s="75"/>
      <c r="V85" s="14"/>
      <c r="W85" s="14"/>
      <c r="X85" s="15"/>
    </row>
    <row r="86" spans="1:24" ht="12.75">
      <c r="A86" s="126">
        <v>75</v>
      </c>
      <c r="B86" s="129" t="s">
        <v>88</v>
      </c>
      <c r="C86" s="242">
        <f t="shared" si="3"/>
        <v>17000</v>
      </c>
      <c r="D86" s="73"/>
      <c r="E86" s="129"/>
      <c r="F86" s="73"/>
      <c r="G86" s="71"/>
      <c r="H86" s="121"/>
      <c r="I86" s="71"/>
      <c r="J86" s="71"/>
      <c r="K86" s="73"/>
      <c r="L86" s="71"/>
      <c r="M86" s="121"/>
      <c r="N86" s="71"/>
      <c r="O86" s="121"/>
      <c r="P86" s="274">
        <v>17000</v>
      </c>
      <c r="Q86" s="63"/>
      <c r="R86" s="64"/>
      <c r="S86" s="64"/>
      <c r="T86" s="65"/>
      <c r="U86" s="62"/>
      <c r="V86" s="66"/>
      <c r="W86" s="66"/>
      <c r="X86" s="8"/>
    </row>
    <row r="87" spans="1:24" ht="12.75">
      <c r="A87" s="126">
        <v>76</v>
      </c>
      <c r="B87" s="129" t="s">
        <v>89</v>
      </c>
      <c r="C87" s="242">
        <f t="shared" si="3"/>
        <v>2600</v>
      </c>
      <c r="D87" s="73"/>
      <c r="E87" s="129"/>
      <c r="F87" s="73"/>
      <c r="G87" s="71"/>
      <c r="H87" s="121"/>
      <c r="I87" s="71"/>
      <c r="J87" s="71"/>
      <c r="K87" s="73"/>
      <c r="L87" s="71"/>
      <c r="M87" s="121"/>
      <c r="N87" s="71"/>
      <c r="O87" s="121"/>
      <c r="P87" s="274">
        <v>2600</v>
      </c>
      <c r="Q87" s="63"/>
      <c r="R87" s="64"/>
      <c r="S87" s="64"/>
      <c r="T87" s="65"/>
      <c r="U87" s="62"/>
      <c r="V87" s="66"/>
      <c r="W87" s="66"/>
      <c r="X87" s="8"/>
    </row>
    <row r="88" spans="1:24" ht="12.75">
      <c r="A88" s="126">
        <v>77</v>
      </c>
      <c r="B88" s="129" t="s">
        <v>90</v>
      </c>
      <c r="C88" s="242">
        <f t="shared" si="3"/>
        <v>2600</v>
      </c>
      <c r="D88" s="73"/>
      <c r="E88" s="129"/>
      <c r="F88" s="73"/>
      <c r="G88" s="71"/>
      <c r="H88" s="121"/>
      <c r="I88" s="71"/>
      <c r="J88" s="71"/>
      <c r="K88" s="73"/>
      <c r="L88" s="71"/>
      <c r="M88" s="121"/>
      <c r="N88" s="71"/>
      <c r="O88" s="121"/>
      <c r="P88" s="274">
        <v>2600</v>
      </c>
      <c r="Q88" s="63"/>
      <c r="R88" s="64"/>
      <c r="S88" s="64"/>
      <c r="T88" s="65"/>
      <c r="U88" s="62"/>
      <c r="V88" s="66"/>
      <c r="W88" s="66"/>
      <c r="X88" s="8"/>
    </row>
    <row r="89" spans="1:24" ht="12.75">
      <c r="A89" s="126">
        <v>78</v>
      </c>
      <c r="B89" s="129" t="s">
        <v>219</v>
      </c>
      <c r="C89" s="242">
        <f t="shared" si="3"/>
        <v>0.077</v>
      </c>
      <c r="D89" s="73"/>
      <c r="E89" s="129"/>
      <c r="F89" s="73"/>
      <c r="G89" s="71"/>
      <c r="H89" s="121"/>
      <c r="I89" s="71"/>
      <c r="J89" s="71"/>
      <c r="K89" s="73"/>
      <c r="L89" s="71"/>
      <c r="M89" s="121"/>
      <c r="N89" s="71"/>
      <c r="O89" s="121"/>
      <c r="P89" s="110">
        <v>0.077</v>
      </c>
      <c r="Q89" s="63"/>
      <c r="R89" s="64"/>
      <c r="S89" s="64"/>
      <c r="T89" s="65"/>
      <c r="U89" s="62"/>
      <c r="V89" s="66"/>
      <c r="W89" s="66"/>
      <c r="X89" s="8"/>
    </row>
    <row r="90" spans="1:24" ht="12.75">
      <c r="A90" s="126">
        <v>79</v>
      </c>
      <c r="B90" s="129" t="s">
        <v>92</v>
      </c>
      <c r="C90" s="242">
        <f t="shared" si="3"/>
        <v>120000</v>
      </c>
      <c r="D90" s="73"/>
      <c r="E90" s="129"/>
      <c r="F90" s="73"/>
      <c r="G90" s="71"/>
      <c r="H90" s="121"/>
      <c r="I90" s="71"/>
      <c r="J90" s="71"/>
      <c r="K90" s="73"/>
      <c r="L90" s="71"/>
      <c r="M90" s="121"/>
      <c r="N90" s="71"/>
      <c r="O90" s="121"/>
      <c r="P90" s="274">
        <v>120000</v>
      </c>
      <c r="Q90" s="63"/>
      <c r="R90" s="64"/>
      <c r="S90" s="64"/>
      <c r="T90" s="65"/>
      <c r="U90" s="62"/>
      <c r="V90" s="66"/>
      <c r="W90" s="66"/>
      <c r="X90" s="8"/>
    </row>
    <row r="91" spans="1:24" ht="12.75">
      <c r="A91" s="126">
        <v>80</v>
      </c>
      <c r="B91" s="129" t="s">
        <v>93</v>
      </c>
      <c r="C91" s="242">
        <f t="shared" si="3"/>
        <v>2900000</v>
      </c>
      <c r="D91" s="73"/>
      <c r="E91" s="129"/>
      <c r="F91" s="73"/>
      <c r="G91" s="71"/>
      <c r="H91" s="121"/>
      <c r="I91" s="71"/>
      <c r="J91" s="71"/>
      <c r="K91" s="73"/>
      <c r="L91" s="71"/>
      <c r="M91" s="121"/>
      <c r="N91" s="71"/>
      <c r="O91" s="121"/>
      <c r="P91" s="274">
        <v>2900000</v>
      </c>
      <c r="Q91" s="63"/>
      <c r="R91" s="64"/>
      <c r="S91" s="64"/>
      <c r="T91" s="65"/>
      <c r="U91" s="62"/>
      <c r="V91" s="66"/>
      <c r="W91" s="66"/>
      <c r="X91" s="8"/>
    </row>
    <row r="92" spans="1:24" ht="12.75">
      <c r="A92" s="126">
        <v>81</v>
      </c>
      <c r="B92" s="129" t="s">
        <v>94</v>
      </c>
      <c r="C92" s="242">
        <f t="shared" si="3"/>
        <v>12000</v>
      </c>
      <c r="D92" s="73"/>
      <c r="E92" s="129"/>
      <c r="F92" s="73"/>
      <c r="G92" s="71"/>
      <c r="H92" s="121"/>
      <c r="I92" s="71"/>
      <c r="J92" s="71"/>
      <c r="K92" s="73"/>
      <c r="L92" s="71"/>
      <c r="M92" s="121"/>
      <c r="N92" s="71"/>
      <c r="O92" s="121"/>
      <c r="P92" s="274">
        <v>12000</v>
      </c>
      <c r="Q92" s="63"/>
      <c r="R92" s="64"/>
      <c r="S92" s="64"/>
      <c r="T92" s="65"/>
      <c r="U92" s="62"/>
      <c r="V92" s="66"/>
      <c r="W92" s="66"/>
      <c r="X92" s="8"/>
    </row>
    <row r="93" spans="1:24" ht="12.75">
      <c r="A93" s="126">
        <v>82</v>
      </c>
      <c r="B93" s="129" t="s">
        <v>95</v>
      </c>
      <c r="C93" s="242">
        <f t="shared" si="3"/>
        <v>9.1</v>
      </c>
      <c r="D93" s="73"/>
      <c r="E93" s="129"/>
      <c r="F93" s="73"/>
      <c r="G93" s="71"/>
      <c r="H93" s="121"/>
      <c r="I93" s="71"/>
      <c r="J93" s="71"/>
      <c r="K93" s="73"/>
      <c r="L93" s="71"/>
      <c r="M93" s="121"/>
      <c r="N93" s="71"/>
      <c r="O93" s="121"/>
      <c r="P93" s="273">
        <v>9.1</v>
      </c>
      <c r="Q93" s="63"/>
      <c r="R93" s="64"/>
      <c r="S93" s="64"/>
      <c r="T93" s="65"/>
      <c r="U93" s="62"/>
      <c r="V93" s="66"/>
      <c r="W93" s="66"/>
      <c r="X93" s="8"/>
    </row>
    <row r="94" spans="1:24" ht="12.75">
      <c r="A94" s="126">
        <v>83</v>
      </c>
      <c r="B94" s="129" t="s">
        <v>96</v>
      </c>
      <c r="C94" s="248" t="str">
        <f>IF(MIN(D94:P94)=0,"No Criteria",MIN(D94:P94))</f>
        <v>No Criteria</v>
      </c>
      <c r="D94" s="73"/>
      <c r="E94" s="129"/>
      <c r="F94" s="73"/>
      <c r="G94" s="71"/>
      <c r="H94" s="121"/>
      <c r="I94" s="71"/>
      <c r="J94" s="71"/>
      <c r="K94" s="73"/>
      <c r="L94" s="71"/>
      <c r="M94" s="121"/>
      <c r="N94" s="71"/>
      <c r="O94" s="121"/>
      <c r="P94" s="72"/>
      <c r="Q94" s="63"/>
      <c r="R94" s="64"/>
      <c r="S94" s="64"/>
      <c r="T94" s="65"/>
      <c r="U94" s="62"/>
      <c r="V94" s="66"/>
      <c r="W94" s="66"/>
      <c r="X94" s="8"/>
    </row>
    <row r="95" spans="1:24" ht="12.75">
      <c r="A95" s="126">
        <v>84</v>
      </c>
      <c r="B95" s="129" t="s">
        <v>97</v>
      </c>
      <c r="C95" s="248" t="str">
        <f>IF(MIN(D95:P95)=0,"No Criteria",MIN(D95:P95))</f>
        <v>No Criteria</v>
      </c>
      <c r="D95" s="73"/>
      <c r="E95" s="129"/>
      <c r="F95" s="73"/>
      <c r="G95" s="71"/>
      <c r="H95" s="121"/>
      <c r="I95" s="71"/>
      <c r="J95" s="71"/>
      <c r="K95" s="73"/>
      <c r="L95" s="71"/>
      <c r="M95" s="121"/>
      <c r="N95" s="71"/>
      <c r="O95" s="121"/>
      <c r="P95" s="72"/>
      <c r="Q95" s="63"/>
      <c r="R95" s="64"/>
      <c r="S95" s="64"/>
      <c r="T95" s="65"/>
      <c r="U95" s="62"/>
      <c r="V95" s="66"/>
      <c r="W95" s="66"/>
      <c r="X95" s="8"/>
    </row>
    <row r="96" spans="1:24" ht="12.75">
      <c r="A96" s="126">
        <v>85</v>
      </c>
      <c r="B96" s="129" t="s">
        <v>98</v>
      </c>
      <c r="C96" s="242">
        <f aca="true" t="shared" si="4" ref="C96:C104">IF(MIN(D96:P96)=0,"  No Criteria",MIN(D96:P96))</f>
        <v>0.54</v>
      </c>
      <c r="D96" s="73"/>
      <c r="E96" s="129"/>
      <c r="F96" s="73"/>
      <c r="G96" s="71"/>
      <c r="H96" s="121"/>
      <c r="I96" s="71"/>
      <c r="J96" s="71"/>
      <c r="K96" s="73"/>
      <c r="L96" s="71"/>
      <c r="M96" s="121"/>
      <c r="N96" s="71"/>
      <c r="O96" s="121"/>
      <c r="P96" s="272">
        <v>0.54</v>
      </c>
      <c r="Q96" s="63"/>
      <c r="R96" s="64"/>
      <c r="S96" s="64"/>
      <c r="T96" s="65"/>
      <c r="U96" s="62"/>
      <c r="V96" s="66"/>
      <c r="W96" s="66"/>
      <c r="X96" s="8"/>
    </row>
    <row r="97" spans="1:24" ht="12.75">
      <c r="A97" s="126">
        <v>86</v>
      </c>
      <c r="B97" s="129" t="s">
        <v>99</v>
      </c>
      <c r="C97" s="242">
        <f t="shared" si="4"/>
        <v>370</v>
      </c>
      <c r="D97" s="73"/>
      <c r="E97" s="129"/>
      <c r="F97" s="73"/>
      <c r="G97" s="71"/>
      <c r="H97" s="121"/>
      <c r="I97" s="71"/>
      <c r="J97" s="71"/>
      <c r="K97" s="73"/>
      <c r="L97" s="71"/>
      <c r="M97" s="121"/>
      <c r="N97" s="71"/>
      <c r="O97" s="121"/>
      <c r="P97" s="144">
        <v>370</v>
      </c>
      <c r="Q97" s="63"/>
      <c r="R97" s="64"/>
      <c r="S97" s="64"/>
      <c r="T97" s="65"/>
      <c r="U97" s="62"/>
      <c r="V97" s="66"/>
      <c r="W97" s="66"/>
      <c r="X97" s="8"/>
    </row>
    <row r="98" spans="1:24" ht="12.75">
      <c r="A98" s="126">
        <v>87</v>
      </c>
      <c r="B98" s="129" t="s">
        <v>100</v>
      </c>
      <c r="C98" s="242">
        <f t="shared" si="4"/>
        <v>14000</v>
      </c>
      <c r="D98" s="73"/>
      <c r="E98" s="129"/>
      <c r="F98" s="73"/>
      <c r="G98" s="71"/>
      <c r="H98" s="121"/>
      <c r="I98" s="71"/>
      <c r="J98" s="71"/>
      <c r="K98" s="73"/>
      <c r="L98" s="71"/>
      <c r="M98" s="121"/>
      <c r="N98" s="71"/>
      <c r="O98" s="121"/>
      <c r="P98" s="274">
        <v>14000</v>
      </c>
      <c r="Q98" s="63"/>
      <c r="R98" s="64"/>
      <c r="S98" s="64"/>
      <c r="T98" s="65"/>
      <c r="U98" s="62"/>
      <c r="V98" s="66"/>
      <c r="W98" s="66"/>
      <c r="X98" s="8"/>
    </row>
    <row r="99" spans="1:24" ht="12.75">
      <c r="A99" s="126">
        <v>88</v>
      </c>
      <c r="B99" s="129" t="s">
        <v>101</v>
      </c>
      <c r="C99" s="242">
        <f t="shared" si="4"/>
        <v>0.00077</v>
      </c>
      <c r="D99" s="73"/>
      <c r="E99" s="129"/>
      <c r="F99" s="73"/>
      <c r="G99" s="71"/>
      <c r="H99" s="121"/>
      <c r="I99" s="71"/>
      <c r="J99" s="71"/>
      <c r="K99" s="73"/>
      <c r="L99" s="71"/>
      <c r="M99" s="121"/>
      <c r="N99" s="71"/>
      <c r="O99" s="121"/>
      <c r="P99" s="275">
        <v>0.00077</v>
      </c>
      <c r="Q99" s="63"/>
      <c r="R99" s="64"/>
      <c r="S99" s="64"/>
      <c r="T99" s="65"/>
      <c r="U99" s="62"/>
      <c r="V99" s="66"/>
      <c r="W99" s="66"/>
      <c r="X99" s="8"/>
    </row>
    <row r="100" spans="1:24" ht="12.75">
      <c r="A100" s="126">
        <v>89</v>
      </c>
      <c r="B100" s="129" t="s">
        <v>102</v>
      </c>
      <c r="C100" s="242">
        <f t="shared" si="4"/>
        <v>50</v>
      </c>
      <c r="D100" s="73"/>
      <c r="E100" s="129"/>
      <c r="F100" s="73"/>
      <c r="G100" s="71"/>
      <c r="H100" s="121"/>
      <c r="I100" s="71"/>
      <c r="J100" s="71"/>
      <c r="K100" s="73"/>
      <c r="L100" s="71"/>
      <c r="M100" s="121"/>
      <c r="N100" s="71"/>
      <c r="O100" s="121"/>
      <c r="P100" s="144">
        <v>50</v>
      </c>
      <c r="Q100" s="63"/>
      <c r="R100" s="64"/>
      <c r="S100" s="64"/>
      <c r="T100" s="65"/>
      <c r="U100" s="62"/>
      <c r="V100" s="66"/>
      <c r="W100" s="66"/>
      <c r="X100" s="8"/>
    </row>
    <row r="101" spans="1:24" ht="12.75">
      <c r="A101" s="126">
        <v>90</v>
      </c>
      <c r="B101" s="129" t="s">
        <v>103</v>
      </c>
      <c r="C101" s="242">
        <f t="shared" si="4"/>
        <v>17000</v>
      </c>
      <c r="D101" s="73"/>
      <c r="E101" s="129"/>
      <c r="F101" s="73"/>
      <c r="G101" s="71"/>
      <c r="H101" s="121"/>
      <c r="I101" s="71"/>
      <c r="J101" s="71"/>
      <c r="K101" s="73"/>
      <c r="L101" s="71"/>
      <c r="M101" s="121"/>
      <c r="N101" s="71"/>
      <c r="O101" s="121"/>
      <c r="P101" s="274">
        <v>17000</v>
      </c>
      <c r="Q101" s="63"/>
      <c r="R101" s="64"/>
      <c r="S101" s="64"/>
      <c r="T101" s="65"/>
      <c r="U101" s="62"/>
      <c r="V101" s="66"/>
      <c r="W101" s="66"/>
      <c r="X101" s="8"/>
    </row>
    <row r="102" spans="1:24" ht="12.75">
      <c r="A102" s="126">
        <v>91</v>
      </c>
      <c r="B102" s="129" t="s">
        <v>104</v>
      </c>
      <c r="C102" s="242">
        <f t="shared" si="4"/>
        <v>8.9</v>
      </c>
      <c r="D102" s="73"/>
      <c r="E102" s="129"/>
      <c r="F102" s="73"/>
      <c r="G102" s="71"/>
      <c r="H102" s="121"/>
      <c r="I102" s="71"/>
      <c r="J102" s="71"/>
      <c r="K102" s="73"/>
      <c r="L102" s="71"/>
      <c r="M102" s="121"/>
      <c r="N102" s="71"/>
      <c r="O102" s="121"/>
      <c r="P102" s="273">
        <v>8.9</v>
      </c>
      <c r="Q102" s="63"/>
      <c r="R102" s="64"/>
      <c r="S102" s="64"/>
      <c r="T102" s="65"/>
      <c r="U102" s="62"/>
      <c r="V102" s="66"/>
      <c r="W102" s="66"/>
      <c r="X102" s="8"/>
    </row>
    <row r="103" spans="1:24" s="11" customFormat="1" ht="12.75">
      <c r="A103" s="126">
        <v>92</v>
      </c>
      <c r="B103" s="129" t="s">
        <v>220</v>
      </c>
      <c r="C103" s="242">
        <f t="shared" si="4"/>
        <v>0.049</v>
      </c>
      <c r="D103" s="73"/>
      <c r="E103" s="147"/>
      <c r="F103" s="159"/>
      <c r="G103" s="160"/>
      <c r="H103" s="178"/>
      <c r="I103" s="160"/>
      <c r="J103" s="160"/>
      <c r="K103" s="159"/>
      <c r="L103" s="160"/>
      <c r="M103" s="178"/>
      <c r="N103" s="160"/>
      <c r="O103" s="178"/>
      <c r="P103" s="110">
        <v>0.049</v>
      </c>
      <c r="Q103" s="76"/>
      <c r="R103" s="77"/>
      <c r="S103" s="77"/>
      <c r="T103" s="78"/>
      <c r="U103" s="75"/>
      <c r="V103" s="14"/>
      <c r="W103" s="14"/>
      <c r="X103" s="15"/>
    </row>
    <row r="104" spans="1:24" ht="12.75">
      <c r="A104" s="126">
        <v>93</v>
      </c>
      <c r="B104" s="129" t="s">
        <v>106</v>
      </c>
      <c r="C104" s="242">
        <f t="shared" si="4"/>
        <v>600</v>
      </c>
      <c r="D104" s="73"/>
      <c r="E104" s="129"/>
      <c r="F104" s="73"/>
      <c r="G104" s="71"/>
      <c r="H104" s="121"/>
      <c r="I104" s="71"/>
      <c r="J104" s="71"/>
      <c r="K104" s="73"/>
      <c r="L104" s="71"/>
      <c r="M104" s="121"/>
      <c r="N104" s="71"/>
      <c r="O104" s="121"/>
      <c r="P104" s="144">
        <v>600</v>
      </c>
      <c r="Q104" s="63"/>
      <c r="R104" s="64"/>
      <c r="S104" s="64"/>
      <c r="T104" s="65"/>
      <c r="U104" s="62"/>
      <c r="V104" s="66"/>
      <c r="W104" s="66"/>
      <c r="X104" s="8"/>
    </row>
    <row r="105" spans="1:24" ht="12.75">
      <c r="A105" s="126">
        <v>94</v>
      </c>
      <c r="B105" s="129" t="s">
        <v>221</v>
      </c>
      <c r="C105" s="248" t="str">
        <f>IF(MIN(D105:P105)=0,"No Criteria",MIN(D105:P105))</f>
        <v>No Criteria</v>
      </c>
      <c r="D105" s="73"/>
      <c r="E105" s="129"/>
      <c r="F105" s="73"/>
      <c r="G105" s="71"/>
      <c r="H105" s="121"/>
      <c r="I105" s="71"/>
      <c r="J105" s="71"/>
      <c r="K105" s="73"/>
      <c r="L105" s="71"/>
      <c r="M105" s="121"/>
      <c r="N105" s="71"/>
      <c r="O105" s="121"/>
      <c r="P105" s="72"/>
      <c r="Q105" s="63"/>
      <c r="R105" s="64"/>
      <c r="S105" s="64"/>
      <c r="T105" s="65"/>
      <c r="U105" s="62"/>
      <c r="V105" s="66"/>
      <c r="W105" s="66"/>
      <c r="X105" s="8"/>
    </row>
    <row r="106" spans="1:24" ht="12.75">
      <c r="A106" s="126">
        <v>95</v>
      </c>
      <c r="B106" s="129" t="s">
        <v>108</v>
      </c>
      <c r="C106" s="242">
        <f>IF(MIN(D106:P106)=0,"  No Criteria",MIN(D106:P106))</f>
        <v>1900</v>
      </c>
      <c r="D106" s="73"/>
      <c r="E106" s="129"/>
      <c r="F106" s="73"/>
      <c r="G106" s="71"/>
      <c r="H106" s="121"/>
      <c r="I106" s="71"/>
      <c r="J106" s="71"/>
      <c r="K106" s="73"/>
      <c r="L106" s="71"/>
      <c r="M106" s="121"/>
      <c r="N106" s="71"/>
      <c r="O106" s="121"/>
      <c r="P106" s="274">
        <v>1900</v>
      </c>
      <c r="Q106" s="63"/>
      <c r="R106" s="64"/>
      <c r="S106" s="64"/>
      <c r="T106" s="65"/>
      <c r="U106" s="62"/>
      <c r="V106" s="66"/>
      <c r="W106" s="66"/>
      <c r="X106" s="8"/>
    </row>
    <row r="107" spans="1:24" ht="12.75">
      <c r="A107" s="126">
        <v>96</v>
      </c>
      <c r="B107" s="129" t="s">
        <v>109</v>
      </c>
      <c r="C107" s="242">
        <f>IF(MIN(D107:P107)=0,"  No Criteria",MIN(D107:P107))</f>
        <v>8.1</v>
      </c>
      <c r="D107" s="73"/>
      <c r="E107" s="129"/>
      <c r="F107" s="73"/>
      <c r="G107" s="71"/>
      <c r="H107" s="121"/>
      <c r="I107" s="71"/>
      <c r="J107" s="71"/>
      <c r="K107" s="73"/>
      <c r="L107" s="71"/>
      <c r="M107" s="121"/>
      <c r="N107" s="71"/>
      <c r="O107" s="121"/>
      <c r="P107" s="273">
        <v>8.1</v>
      </c>
      <c r="Q107" s="63"/>
      <c r="R107" s="64"/>
      <c r="S107" s="64"/>
      <c r="T107" s="65"/>
      <c r="U107" s="62"/>
      <c r="V107" s="66"/>
      <c r="W107" s="66"/>
      <c r="X107" s="8"/>
    </row>
    <row r="108" spans="1:24" ht="12.75">
      <c r="A108" s="126">
        <v>97</v>
      </c>
      <c r="B108" s="129" t="s">
        <v>110</v>
      </c>
      <c r="C108" s="242">
        <f>IF(MIN(D108:P108)=0,"  No Criteria",MIN(D108:P108))</f>
        <v>1.4</v>
      </c>
      <c r="D108" s="73"/>
      <c r="E108" s="129"/>
      <c r="F108" s="73"/>
      <c r="G108" s="71"/>
      <c r="H108" s="121"/>
      <c r="I108" s="71"/>
      <c r="J108" s="71"/>
      <c r="K108" s="73"/>
      <c r="L108" s="71"/>
      <c r="M108" s="121"/>
      <c r="N108" s="71"/>
      <c r="O108" s="121"/>
      <c r="P108" s="273">
        <v>1.4</v>
      </c>
      <c r="Q108" s="63"/>
      <c r="R108" s="64"/>
      <c r="S108" s="64"/>
      <c r="T108" s="65"/>
      <c r="U108" s="62"/>
      <c r="V108" s="66"/>
      <c r="W108" s="66"/>
      <c r="X108" s="8"/>
    </row>
    <row r="109" spans="1:24" ht="12.75">
      <c r="A109" s="126">
        <v>98</v>
      </c>
      <c r="B109" s="129" t="s">
        <v>111</v>
      </c>
      <c r="C109" s="242">
        <f>IF(MIN(D109:P109)=0,"  No Criteria",MIN(D109:P109))</f>
        <v>16</v>
      </c>
      <c r="D109" s="73"/>
      <c r="E109" s="129"/>
      <c r="F109" s="73"/>
      <c r="G109" s="71"/>
      <c r="H109" s="121"/>
      <c r="I109" s="71"/>
      <c r="J109" s="71"/>
      <c r="K109" s="73"/>
      <c r="L109" s="71"/>
      <c r="M109" s="121"/>
      <c r="N109" s="71"/>
      <c r="O109" s="121"/>
      <c r="P109" s="144">
        <v>16</v>
      </c>
      <c r="Q109" s="63"/>
      <c r="R109" s="64"/>
      <c r="S109" s="64"/>
      <c r="T109" s="65"/>
      <c r="U109" s="62"/>
      <c r="V109" s="66"/>
      <c r="W109" s="66"/>
      <c r="X109" s="8"/>
    </row>
    <row r="110" spans="1:24" ht="12.75">
      <c r="A110" s="126">
        <v>99</v>
      </c>
      <c r="B110" s="129" t="s">
        <v>112</v>
      </c>
      <c r="C110" s="248" t="str">
        <f>IF(MIN(D110:P110)=0,"No Criteria",MIN(D110:P110))</f>
        <v>No Criteria</v>
      </c>
      <c r="D110" s="73"/>
      <c r="E110" s="129"/>
      <c r="F110" s="73"/>
      <c r="G110" s="71"/>
      <c r="H110" s="121"/>
      <c r="I110" s="71"/>
      <c r="J110" s="71"/>
      <c r="K110" s="73"/>
      <c r="L110" s="71"/>
      <c r="M110" s="121"/>
      <c r="N110" s="71"/>
      <c r="O110" s="121"/>
      <c r="P110" s="144"/>
      <c r="Q110" s="63"/>
      <c r="R110" s="64"/>
      <c r="S110" s="64"/>
      <c r="T110" s="65"/>
      <c r="U110" s="62"/>
      <c r="V110" s="66"/>
      <c r="W110" s="66"/>
      <c r="X110" s="8"/>
    </row>
    <row r="111" spans="1:24" ht="12.75">
      <c r="A111" s="126">
        <v>100</v>
      </c>
      <c r="B111" s="129" t="s">
        <v>113</v>
      </c>
      <c r="C111" s="242">
        <f>IF(MIN(D111:P111)=0,"  No Criteria",MIN(D111:P111))</f>
        <v>11000</v>
      </c>
      <c r="D111" s="73"/>
      <c r="E111" s="129"/>
      <c r="F111" s="73"/>
      <c r="G111" s="71"/>
      <c r="H111" s="121"/>
      <c r="I111" s="71"/>
      <c r="J111" s="71"/>
      <c r="K111" s="73"/>
      <c r="L111" s="71"/>
      <c r="M111" s="121"/>
      <c r="N111" s="71"/>
      <c r="O111" s="121"/>
      <c r="P111" s="274">
        <v>11000</v>
      </c>
      <c r="Q111" s="63"/>
      <c r="R111" s="64"/>
      <c r="S111" s="64"/>
      <c r="T111" s="65"/>
      <c r="U111" s="62"/>
      <c r="V111" s="66"/>
      <c r="W111" s="66"/>
      <c r="X111" s="8"/>
    </row>
    <row r="112" spans="1:24" ht="12.75">
      <c r="A112" s="126">
        <v>101</v>
      </c>
      <c r="B112" s="129" t="s">
        <v>114</v>
      </c>
      <c r="C112" s="248" t="str">
        <f>IF(MIN(D112:P112)=0,"No Criteria",MIN(D112:P112))</f>
        <v>No Criteria</v>
      </c>
      <c r="D112" s="73"/>
      <c r="E112" s="129"/>
      <c r="F112" s="73"/>
      <c r="G112" s="71"/>
      <c r="H112" s="121"/>
      <c r="I112" s="71"/>
      <c r="J112" s="71"/>
      <c r="K112" s="73"/>
      <c r="L112" s="71"/>
      <c r="M112" s="121"/>
      <c r="N112" s="71"/>
      <c r="O112" s="121"/>
      <c r="P112" s="72"/>
      <c r="Q112" s="63"/>
      <c r="R112" s="64"/>
      <c r="S112" s="64"/>
      <c r="T112" s="65"/>
      <c r="U112" s="62"/>
      <c r="V112" s="66"/>
      <c r="W112" s="66"/>
      <c r="X112" s="8"/>
    </row>
    <row r="113" spans="1:24" ht="12.75">
      <c r="A113" s="126">
        <v>102</v>
      </c>
      <c r="B113" s="129" t="s">
        <v>115</v>
      </c>
      <c r="C113" s="242">
        <f>IF(MIN(D113:P113)=0,"  No Criteria",MIN(D113:P113))</f>
        <v>0.00014</v>
      </c>
      <c r="D113" s="73"/>
      <c r="E113" s="129"/>
      <c r="F113" s="73"/>
      <c r="G113" s="71"/>
      <c r="H113" s="121"/>
      <c r="I113" s="71"/>
      <c r="J113" s="71"/>
      <c r="K113" s="154">
        <v>3</v>
      </c>
      <c r="L113" s="71"/>
      <c r="M113" s="170">
        <v>1.3</v>
      </c>
      <c r="N113" s="71"/>
      <c r="O113" s="121"/>
      <c r="P113" s="275">
        <v>0.00014</v>
      </c>
      <c r="Q113" s="63"/>
      <c r="R113" s="64"/>
      <c r="S113" s="64"/>
      <c r="T113" s="65"/>
      <c r="U113" s="62"/>
      <c r="V113" s="66"/>
      <c r="W113" s="66"/>
      <c r="X113" s="8"/>
    </row>
    <row r="114" spans="1:24" ht="12.75">
      <c r="A114" s="126">
        <v>103</v>
      </c>
      <c r="B114" s="129" t="s">
        <v>116</v>
      </c>
      <c r="C114" s="242">
        <f>IF(MIN(D114:P114)=0,"  No Criteria",MIN(D114:P114))</f>
        <v>0.013</v>
      </c>
      <c r="D114" s="73"/>
      <c r="E114" s="129"/>
      <c r="F114" s="73"/>
      <c r="G114" s="71"/>
      <c r="H114" s="121"/>
      <c r="I114" s="71"/>
      <c r="J114" s="71"/>
      <c r="K114" s="73"/>
      <c r="L114" s="71"/>
      <c r="M114" s="121"/>
      <c r="N114" s="71"/>
      <c r="O114" s="121"/>
      <c r="P114" s="110">
        <v>0.013</v>
      </c>
      <c r="Q114" s="63"/>
      <c r="R114" s="64"/>
      <c r="S114" s="64"/>
      <c r="T114" s="65"/>
      <c r="U114" s="62"/>
      <c r="V114" s="66"/>
      <c r="W114" s="66"/>
      <c r="X114" s="8"/>
    </row>
    <row r="115" spans="1:24" ht="12.75">
      <c r="A115" s="126">
        <v>104</v>
      </c>
      <c r="B115" s="129" t="s">
        <v>117</v>
      </c>
      <c r="C115" s="242">
        <f>IF(MIN(D115:P115)=0,"  No Criteria",MIN(D115:P115))</f>
        <v>0.046</v>
      </c>
      <c r="D115" s="73"/>
      <c r="E115" s="129"/>
      <c r="F115" s="73"/>
      <c r="G115" s="71"/>
      <c r="H115" s="121"/>
      <c r="I115" s="71"/>
      <c r="J115" s="71"/>
      <c r="K115" s="73"/>
      <c r="L115" s="71"/>
      <c r="M115" s="121"/>
      <c r="N115" s="71"/>
      <c r="O115" s="121"/>
      <c r="P115" s="110">
        <v>0.046</v>
      </c>
      <c r="Q115" s="63"/>
      <c r="R115" s="64"/>
      <c r="S115" s="64"/>
      <c r="T115" s="65"/>
      <c r="U115" s="62"/>
      <c r="V115" s="66"/>
      <c r="W115" s="66"/>
      <c r="X115" s="8"/>
    </row>
    <row r="116" spans="1:24" ht="12.75">
      <c r="A116" s="126">
        <v>105</v>
      </c>
      <c r="B116" s="129" t="s">
        <v>118</v>
      </c>
      <c r="C116" s="242">
        <f>IF(MIN(D116:P116)=0,"  No Criteria",MIN(D116:P116))</f>
        <v>0.063</v>
      </c>
      <c r="D116" s="73"/>
      <c r="E116" s="129"/>
      <c r="F116" s="73"/>
      <c r="G116" s="71"/>
      <c r="H116" s="121"/>
      <c r="I116" s="71"/>
      <c r="J116" s="71"/>
      <c r="K116" s="184">
        <v>0.95</v>
      </c>
      <c r="L116" s="185"/>
      <c r="M116" s="122">
        <v>0.16</v>
      </c>
      <c r="N116" s="71"/>
      <c r="O116" s="121"/>
      <c r="P116" s="110">
        <v>0.063</v>
      </c>
      <c r="Q116" s="63"/>
      <c r="R116" s="64"/>
      <c r="S116" s="64"/>
      <c r="T116" s="65"/>
      <c r="U116" s="62"/>
      <c r="V116" s="66"/>
      <c r="W116" s="66"/>
      <c r="X116" s="8"/>
    </row>
    <row r="117" spans="1:24" ht="12.75">
      <c r="A117" s="126">
        <v>106</v>
      </c>
      <c r="B117" s="129" t="s">
        <v>119</v>
      </c>
      <c r="C117" s="248" t="str">
        <f>IF(MIN(D117:P117)=0,"No Criteria",MIN(D117:P117))</f>
        <v>No Criteria</v>
      </c>
      <c r="D117" s="73"/>
      <c r="E117" s="129"/>
      <c r="F117" s="73"/>
      <c r="G117" s="71"/>
      <c r="H117" s="121"/>
      <c r="I117" s="71"/>
      <c r="J117" s="71"/>
      <c r="K117" s="73"/>
      <c r="L117" s="71"/>
      <c r="M117" s="121"/>
      <c r="N117" s="71"/>
      <c r="O117" s="121"/>
      <c r="P117" s="72"/>
      <c r="Q117" s="63"/>
      <c r="R117" s="64"/>
      <c r="S117" s="64"/>
      <c r="T117" s="65"/>
      <c r="U117" s="62"/>
      <c r="V117" s="66"/>
      <c r="W117" s="66"/>
      <c r="X117" s="8"/>
    </row>
    <row r="118" spans="1:24" ht="12.75">
      <c r="A118" s="126">
        <v>107</v>
      </c>
      <c r="B118" s="129" t="s">
        <v>222</v>
      </c>
      <c r="C118" s="242">
        <f aca="true" t="shared" si="5" ref="C118:C133">IF(MIN(D118:P118)=0,"  No Criteria",MIN(D118:P118))</f>
        <v>0.00059</v>
      </c>
      <c r="D118" s="143"/>
      <c r="E118" s="129"/>
      <c r="F118" s="73"/>
      <c r="G118" s="71"/>
      <c r="H118" s="121"/>
      <c r="I118" s="71"/>
      <c r="J118" s="71"/>
      <c r="K118" s="153">
        <v>2.4</v>
      </c>
      <c r="L118" s="71">
        <v>0.0043</v>
      </c>
      <c r="M118" s="122">
        <v>0.09</v>
      </c>
      <c r="N118" s="25">
        <v>0.004</v>
      </c>
      <c r="O118" s="176"/>
      <c r="P118" s="275">
        <v>0.00059</v>
      </c>
      <c r="Q118" s="63"/>
      <c r="R118" s="64"/>
      <c r="S118" s="64"/>
      <c r="T118" s="65"/>
      <c r="U118" s="62"/>
      <c r="V118" s="66"/>
      <c r="W118" s="66"/>
      <c r="X118" s="8"/>
    </row>
    <row r="119" spans="1:24" ht="12.75">
      <c r="A119" s="126">
        <v>108</v>
      </c>
      <c r="B119" s="129" t="s">
        <v>223</v>
      </c>
      <c r="C119" s="242">
        <f t="shared" si="5"/>
        <v>0.00059</v>
      </c>
      <c r="D119" s="143"/>
      <c r="E119" s="129"/>
      <c r="F119" s="73"/>
      <c r="G119" s="71"/>
      <c r="H119" s="121"/>
      <c r="I119" s="71"/>
      <c r="J119" s="71"/>
      <c r="K119" s="153">
        <v>1.1</v>
      </c>
      <c r="L119" s="25">
        <v>0.001</v>
      </c>
      <c r="M119" s="122">
        <v>0.13</v>
      </c>
      <c r="N119" s="25">
        <v>0.001</v>
      </c>
      <c r="O119" s="176"/>
      <c r="P119" s="275">
        <v>0.00059</v>
      </c>
      <c r="Q119" s="63"/>
      <c r="R119" s="64"/>
      <c r="S119" s="64"/>
      <c r="T119" s="65"/>
      <c r="U119" s="62"/>
      <c r="V119" s="66"/>
      <c r="W119" s="66"/>
      <c r="X119" s="8"/>
    </row>
    <row r="120" spans="1:24" ht="12.75">
      <c r="A120" s="126">
        <v>109</v>
      </c>
      <c r="B120" s="129" t="s">
        <v>224</v>
      </c>
      <c r="C120" s="242">
        <f t="shared" si="5"/>
        <v>0.00059</v>
      </c>
      <c r="D120" s="73"/>
      <c r="E120" s="129"/>
      <c r="F120" s="73"/>
      <c r="G120" s="71"/>
      <c r="H120" s="121"/>
      <c r="I120" s="71"/>
      <c r="J120" s="71"/>
      <c r="K120" s="73"/>
      <c r="L120" s="71"/>
      <c r="M120" s="121"/>
      <c r="N120" s="71"/>
      <c r="O120" s="121"/>
      <c r="P120" s="275">
        <v>0.00059</v>
      </c>
      <c r="Q120" s="63"/>
      <c r="R120" s="64"/>
      <c r="S120" s="64"/>
      <c r="T120" s="65"/>
      <c r="U120" s="62"/>
      <c r="V120" s="66"/>
      <c r="W120" s="66"/>
      <c r="X120" s="8"/>
    </row>
    <row r="121" spans="1:24" ht="12.75">
      <c r="A121" s="126">
        <v>110</v>
      </c>
      <c r="B121" s="129" t="s">
        <v>225</v>
      </c>
      <c r="C121" s="242">
        <f t="shared" si="5"/>
        <v>0.00084</v>
      </c>
      <c r="D121" s="73"/>
      <c r="E121" s="129"/>
      <c r="F121" s="73"/>
      <c r="G121" s="71"/>
      <c r="H121" s="121"/>
      <c r="I121" s="71"/>
      <c r="J121" s="71"/>
      <c r="K121" s="73"/>
      <c r="L121" s="71"/>
      <c r="M121" s="121"/>
      <c r="N121" s="71"/>
      <c r="O121" s="121"/>
      <c r="P121" s="275">
        <v>0.00084</v>
      </c>
      <c r="Q121" s="63"/>
      <c r="R121" s="64"/>
      <c r="S121" s="64"/>
      <c r="T121" s="65"/>
      <c r="U121" s="62"/>
      <c r="V121" s="66"/>
      <c r="W121" s="66"/>
      <c r="X121" s="8"/>
    </row>
    <row r="122" spans="1:24" ht="12.75">
      <c r="A122" s="126">
        <v>111</v>
      </c>
      <c r="B122" s="129" t="s">
        <v>226</v>
      </c>
      <c r="C122" s="242">
        <f t="shared" si="5"/>
        <v>0.00014</v>
      </c>
      <c r="D122" s="143"/>
      <c r="E122" s="129"/>
      <c r="F122" s="73"/>
      <c r="G122" s="71"/>
      <c r="H122" s="121"/>
      <c r="I122" s="71"/>
      <c r="J122" s="71"/>
      <c r="K122" s="184">
        <v>0.24</v>
      </c>
      <c r="L122" s="25">
        <v>0.056</v>
      </c>
      <c r="M122" s="122">
        <v>0.71</v>
      </c>
      <c r="N122" s="71">
        <v>0.0019</v>
      </c>
      <c r="O122" s="121"/>
      <c r="P122" s="275">
        <v>0.00014</v>
      </c>
      <c r="Q122" s="63"/>
      <c r="R122" s="64"/>
      <c r="S122" s="64"/>
      <c r="T122" s="65"/>
      <c r="U122" s="62"/>
      <c r="V122" s="66"/>
      <c r="W122" s="66"/>
      <c r="X122" s="8"/>
    </row>
    <row r="123" spans="1:24" ht="12.75">
      <c r="A123" s="126">
        <v>112</v>
      </c>
      <c r="B123" s="129" t="s">
        <v>125</v>
      </c>
      <c r="C123" s="242">
        <f t="shared" si="5"/>
        <v>0.0087</v>
      </c>
      <c r="D123" s="73"/>
      <c r="E123" s="129"/>
      <c r="F123" s="73"/>
      <c r="G123" s="71"/>
      <c r="H123" s="121"/>
      <c r="I123" s="71"/>
      <c r="J123" s="71"/>
      <c r="K123" s="184">
        <v>0.22</v>
      </c>
      <c r="L123" s="25">
        <v>0.056</v>
      </c>
      <c r="M123" s="176">
        <v>0.034</v>
      </c>
      <c r="N123" s="71">
        <v>0.0087</v>
      </c>
      <c r="O123" s="121"/>
      <c r="P123" s="144">
        <v>240</v>
      </c>
      <c r="Q123" s="63"/>
      <c r="R123" s="64"/>
      <c r="S123" s="64"/>
      <c r="T123" s="65"/>
      <c r="U123" s="62"/>
      <c r="V123" s="66"/>
      <c r="W123" s="66"/>
      <c r="X123" s="8"/>
    </row>
    <row r="124" spans="1:24" ht="12.75">
      <c r="A124" s="126">
        <v>113</v>
      </c>
      <c r="B124" s="129" t="s">
        <v>227</v>
      </c>
      <c r="C124" s="242">
        <f t="shared" si="5"/>
        <v>0.0087</v>
      </c>
      <c r="D124" s="73"/>
      <c r="E124" s="129"/>
      <c r="F124" s="73"/>
      <c r="G124" s="71"/>
      <c r="H124" s="121"/>
      <c r="I124" s="71"/>
      <c r="J124" s="71"/>
      <c r="K124" s="184">
        <v>0.22</v>
      </c>
      <c r="L124" s="25">
        <v>0.056</v>
      </c>
      <c r="M124" s="176">
        <v>0.034</v>
      </c>
      <c r="N124" s="71">
        <v>0.0087</v>
      </c>
      <c r="O124" s="121"/>
      <c r="P124" s="144">
        <v>240</v>
      </c>
      <c r="Q124" s="63"/>
      <c r="R124" s="64"/>
      <c r="S124" s="64"/>
      <c r="T124" s="65"/>
      <c r="U124" s="62"/>
      <c r="V124" s="66"/>
      <c r="W124" s="66"/>
      <c r="X124" s="8"/>
    </row>
    <row r="125" spans="1:24" ht="12.75">
      <c r="A125" s="126">
        <v>114</v>
      </c>
      <c r="B125" s="129" t="s">
        <v>127</v>
      </c>
      <c r="C125" s="242">
        <f t="shared" si="5"/>
        <v>240</v>
      </c>
      <c r="D125" s="73"/>
      <c r="E125" s="129"/>
      <c r="F125" s="73"/>
      <c r="G125" s="71"/>
      <c r="H125" s="121"/>
      <c r="I125" s="71"/>
      <c r="J125" s="71"/>
      <c r="K125" s="73"/>
      <c r="L125" s="71"/>
      <c r="M125" s="121"/>
      <c r="N125" s="71"/>
      <c r="O125" s="121"/>
      <c r="P125" s="144">
        <v>240</v>
      </c>
      <c r="Q125" s="63"/>
      <c r="R125" s="64"/>
      <c r="S125" s="64"/>
      <c r="T125" s="65"/>
      <c r="U125" s="62"/>
      <c r="V125" s="66"/>
      <c r="W125" s="66"/>
      <c r="X125" s="8"/>
    </row>
    <row r="126" spans="1:24" ht="12.75">
      <c r="A126" s="126">
        <v>115</v>
      </c>
      <c r="B126" s="129" t="s">
        <v>128</v>
      </c>
      <c r="C126" s="242">
        <f t="shared" si="5"/>
        <v>0.0023</v>
      </c>
      <c r="D126" s="73"/>
      <c r="E126" s="129"/>
      <c r="F126" s="73"/>
      <c r="G126" s="71"/>
      <c r="H126" s="121"/>
      <c r="I126" s="71"/>
      <c r="J126" s="71"/>
      <c r="K126" s="70">
        <v>0.086</v>
      </c>
      <c r="L126" s="25">
        <v>0.036</v>
      </c>
      <c r="M126" s="176">
        <v>0.037</v>
      </c>
      <c r="N126" s="71">
        <v>0.0023</v>
      </c>
      <c r="O126" s="121"/>
      <c r="P126" s="272">
        <v>0.81</v>
      </c>
      <c r="Q126" s="63"/>
      <c r="R126" s="64"/>
      <c r="S126" s="64"/>
      <c r="T126" s="65"/>
      <c r="U126" s="62"/>
      <c r="V126" s="66"/>
      <c r="W126" s="66"/>
      <c r="X126" s="8"/>
    </row>
    <row r="127" spans="1:24" ht="12.75">
      <c r="A127" s="126">
        <v>116</v>
      </c>
      <c r="B127" s="129" t="s">
        <v>129</v>
      </c>
      <c r="C127" s="242">
        <f t="shared" si="5"/>
        <v>0.81</v>
      </c>
      <c r="D127" s="73"/>
      <c r="E127" s="129"/>
      <c r="F127" s="73"/>
      <c r="G127" s="71"/>
      <c r="H127" s="121"/>
      <c r="I127" s="71"/>
      <c r="J127" s="71"/>
      <c r="K127" s="73"/>
      <c r="L127" s="71"/>
      <c r="M127" s="121"/>
      <c r="N127" s="71"/>
      <c r="O127" s="121"/>
      <c r="P127" s="272">
        <v>0.81</v>
      </c>
      <c r="Q127" s="63"/>
      <c r="R127" s="64"/>
      <c r="S127" s="64"/>
      <c r="T127" s="65"/>
      <c r="U127" s="62"/>
      <c r="V127" s="66"/>
      <c r="W127" s="66"/>
      <c r="X127" s="8"/>
    </row>
    <row r="128" spans="1:24" ht="12.75">
      <c r="A128" s="126">
        <v>117</v>
      </c>
      <c r="B128" s="129" t="s">
        <v>130</v>
      </c>
      <c r="C128" s="242">
        <f t="shared" si="5"/>
        <v>0.00021</v>
      </c>
      <c r="D128" s="73"/>
      <c r="E128" s="129"/>
      <c r="F128" s="73"/>
      <c r="G128" s="71"/>
      <c r="H128" s="121"/>
      <c r="I128" s="71"/>
      <c r="J128" s="71"/>
      <c r="K128" s="184">
        <v>0.52</v>
      </c>
      <c r="L128" s="71">
        <v>0.0038</v>
      </c>
      <c r="M128" s="176">
        <v>0.053</v>
      </c>
      <c r="N128" s="71">
        <v>0.0036</v>
      </c>
      <c r="O128" s="121"/>
      <c r="P128" s="275">
        <v>0.00021</v>
      </c>
      <c r="Q128" s="63"/>
      <c r="R128" s="64"/>
      <c r="S128" s="64"/>
      <c r="T128" s="65"/>
      <c r="U128" s="62"/>
      <c r="V128" s="66"/>
      <c r="W128" s="66"/>
      <c r="X128" s="8"/>
    </row>
    <row r="129" spans="1:24" ht="12.75">
      <c r="A129" s="126">
        <v>118</v>
      </c>
      <c r="B129" s="129" t="s">
        <v>228</v>
      </c>
      <c r="C129" s="242">
        <f t="shared" si="5"/>
        <v>0.00011</v>
      </c>
      <c r="D129" s="73"/>
      <c r="E129" s="129"/>
      <c r="F129" s="73"/>
      <c r="G129" s="71"/>
      <c r="H129" s="121"/>
      <c r="I129" s="71"/>
      <c r="J129" s="71"/>
      <c r="K129" s="184">
        <v>0.52</v>
      </c>
      <c r="L129" s="71">
        <v>0.0038</v>
      </c>
      <c r="M129" s="176">
        <v>0.053</v>
      </c>
      <c r="N129" s="71">
        <v>0.0036</v>
      </c>
      <c r="O129" s="121"/>
      <c r="P129" s="275">
        <v>0.00011</v>
      </c>
      <c r="Q129" s="63"/>
      <c r="R129" s="64"/>
      <c r="S129" s="64"/>
      <c r="T129" s="65"/>
      <c r="U129" s="62"/>
      <c r="V129" s="66"/>
      <c r="W129" s="66"/>
      <c r="X129" s="8"/>
    </row>
    <row r="130" spans="1:24" ht="12.75">
      <c r="A130" s="126" t="s">
        <v>229</v>
      </c>
      <c r="B130" s="129" t="s">
        <v>283</v>
      </c>
      <c r="C130" s="242">
        <f t="shared" si="5"/>
        <v>0.00017</v>
      </c>
      <c r="D130" s="143"/>
      <c r="E130" s="129"/>
      <c r="F130" s="73"/>
      <c r="G130" s="71"/>
      <c r="H130" s="121"/>
      <c r="I130" s="71"/>
      <c r="J130" s="71"/>
      <c r="K130" s="184"/>
      <c r="L130" s="25">
        <v>0.014</v>
      </c>
      <c r="M130" s="121"/>
      <c r="N130" s="185">
        <v>0.03</v>
      </c>
      <c r="O130" s="123"/>
      <c r="P130" s="275">
        <v>0.00017</v>
      </c>
      <c r="Q130" s="63"/>
      <c r="R130" s="64"/>
      <c r="S130" s="64"/>
      <c r="T130" s="65"/>
      <c r="U130" s="62"/>
      <c r="V130" s="66"/>
      <c r="W130" s="66"/>
      <c r="X130" s="8"/>
    </row>
    <row r="131" spans="1:24" ht="12" customHeight="1">
      <c r="A131" s="126">
        <v>126</v>
      </c>
      <c r="B131" s="129" t="s">
        <v>132</v>
      </c>
      <c r="C131" s="242">
        <f t="shared" si="5"/>
        <v>0.0002</v>
      </c>
      <c r="D131" s="73"/>
      <c r="E131" s="129"/>
      <c r="F131" s="73"/>
      <c r="G131" s="71"/>
      <c r="H131" s="121"/>
      <c r="I131" s="71"/>
      <c r="J131" s="71"/>
      <c r="K131" s="184">
        <v>0.73</v>
      </c>
      <c r="L131" s="71">
        <v>0.0002</v>
      </c>
      <c r="M131" s="122">
        <v>0.21</v>
      </c>
      <c r="N131" s="71">
        <v>0.0002</v>
      </c>
      <c r="O131" s="121"/>
      <c r="P131" s="275">
        <v>0.00075</v>
      </c>
      <c r="Q131" s="63"/>
      <c r="R131" s="64"/>
      <c r="S131" s="64"/>
      <c r="T131" s="65"/>
      <c r="U131" s="62"/>
      <c r="V131" s="66"/>
      <c r="W131" s="66"/>
      <c r="X131" s="8"/>
    </row>
    <row r="132" spans="1:24" ht="13.5" thickBot="1">
      <c r="A132" s="132"/>
      <c r="B132" s="133" t="s">
        <v>231</v>
      </c>
      <c r="C132" s="249">
        <f t="shared" si="5"/>
        <v>0.01</v>
      </c>
      <c r="D132" s="148"/>
      <c r="E132" s="133"/>
      <c r="F132" s="148"/>
      <c r="G132" s="161"/>
      <c r="H132" s="179">
        <v>0.01</v>
      </c>
      <c r="I132" s="161"/>
      <c r="J132" s="161"/>
      <c r="K132" s="148"/>
      <c r="L132" s="161"/>
      <c r="M132" s="187"/>
      <c r="N132" s="161"/>
      <c r="O132" s="187"/>
      <c r="P132" s="189"/>
      <c r="Q132" s="83"/>
      <c r="R132" s="84"/>
      <c r="S132" s="84"/>
      <c r="T132" s="85"/>
      <c r="U132" s="81"/>
      <c r="V132" s="86"/>
      <c r="W132" s="86"/>
      <c r="X132" s="82"/>
    </row>
    <row r="133" spans="1:24" ht="13.5" thickBot="1">
      <c r="A133" s="132"/>
      <c r="B133" s="133" t="s">
        <v>293</v>
      </c>
      <c r="C133" s="249">
        <f t="shared" si="5"/>
        <v>15</v>
      </c>
      <c r="D133" s="148"/>
      <c r="E133" s="133"/>
      <c r="F133" s="148"/>
      <c r="G133" s="161"/>
      <c r="H133" s="179"/>
      <c r="I133" s="161"/>
      <c r="J133" s="161">
        <v>15</v>
      </c>
      <c r="K133" s="148"/>
      <c r="L133" s="161"/>
      <c r="M133" s="187"/>
      <c r="N133" s="161"/>
      <c r="O133" s="80"/>
      <c r="P133" s="189"/>
      <c r="Q133" s="83"/>
      <c r="R133" s="84"/>
      <c r="S133" s="84"/>
      <c r="T133" s="85"/>
      <c r="U133" s="81"/>
      <c r="V133" s="86"/>
      <c r="W133" s="86"/>
      <c r="X133" s="82"/>
    </row>
    <row r="134" spans="1:16" ht="12.75">
      <c r="A134" s="87"/>
      <c r="B134" s="88"/>
      <c r="C134" s="250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</row>
    <row r="135" spans="1:16" ht="12.75">
      <c r="A135" s="79" t="s">
        <v>232</v>
      </c>
      <c r="B135" s="89"/>
      <c r="C135" s="250"/>
      <c r="D135" s="89"/>
      <c r="E135" s="89"/>
      <c r="F135" s="89"/>
      <c r="G135" s="89"/>
      <c r="H135" s="89"/>
      <c r="I135" s="11"/>
      <c r="J135" s="11"/>
      <c r="K135" s="11"/>
      <c r="L135" s="11"/>
      <c r="M135" s="11"/>
      <c r="N135" s="11"/>
      <c r="O135" s="11"/>
      <c r="P135" s="11"/>
    </row>
    <row r="136" spans="1:16" ht="12.75">
      <c r="A136" s="90" t="s">
        <v>233</v>
      </c>
      <c r="B136" s="74" t="s">
        <v>446</v>
      </c>
      <c r="C136" s="251"/>
      <c r="D136" s="56"/>
      <c r="E136" s="89"/>
      <c r="F136" s="89"/>
      <c r="G136" s="89"/>
      <c r="H136" s="89"/>
      <c r="I136" s="11"/>
      <c r="J136" s="11"/>
      <c r="K136" s="11"/>
      <c r="L136" s="11"/>
      <c r="M136" s="11"/>
      <c r="N136" s="11"/>
      <c r="O136" s="11"/>
      <c r="P136" s="11"/>
    </row>
    <row r="137" spans="1:16" ht="12.75">
      <c r="A137" s="91" t="s">
        <v>234</v>
      </c>
      <c r="B137" s="56" t="s">
        <v>235</v>
      </c>
      <c r="C137" s="251"/>
      <c r="D137" s="56"/>
      <c r="E137" s="92"/>
      <c r="F137" s="92"/>
      <c r="G137" s="89"/>
      <c r="H137" s="89"/>
      <c r="I137" s="11"/>
      <c r="J137" s="11"/>
      <c r="K137" s="11"/>
      <c r="L137" s="11"/>
      <c r="M137" s="11"/>
      <c r="N137" s="11"/>
      <c r="O137" s="11"/>
      <c r="P137" s="11"/>
    </row>
    <row r="139" spans="2:4" ht="12.75">
      <c r="B139" s="93"/>
      <c r="C139" s="253"/>
      <c r="D139" s="93"/>
    </row>
  </sheetData>
  <mergeCells count="12">
    <mergeCell ref="M8:N8"/>
    <mergeCell ref="O8:P8"/>
    <mergeCell ref="Q8:T8"/>
    <mergeCell ref="U8:X8"/>
    <mergeCell ref="Y8:Z8"/>
    <mergeCell ref="C7:C9"/>
    <mergeCell ref="D7:J7"/>
    <mergeCell ref="K7:P7"/>
    <mergeCell ref="D8:E8"/>
    <mergeCell ref="F8:G8"/>
    <mergeCell ref="H8:J8"/>
    <mergeCell ref="K8:L8"/>
  </mergeCells>
  <printOptions/>
  <pageMargins left="0.75" right="0.75" top="1" bottom="1" header="0.5" footer="0.5"/>
  <pageSetup cellComments="asDisplayed" horizontalDpi="600" verticalDpi="600" orientation="landscape" scale="55" r:id="rId3"/>
  <headerFooter alignWithMargins="0">
    <oddHeader>&amp;C&amp;20Kobe Precision (Hayward, CA)
NPDES Permit
Water Quality Objectives/Water Quality Criteria for RPA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5"/>
  <sheetViews>
    <sheetView view="pageBreakPreview" zoomScale="70" zoomScaleSheetLayoutView="7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26" sqref="A26"/>
    </sheetView>
  </sheetViews>
  <sheetFormatPr defaultColWidth="9.140625" defaultRowHeight="12.75"/>
  <cols>
    <col min="1" max="1" width="9.140625" style="104" customWidth="1"/>
    <col min="2" max="2" width="20.8515625" style="104" customWidth="1"/>
    <col min="3" max="4" width="9.140625" style="104" customWidth="1"/>
    <col min="5" max="5" width="10.8515625" style="401" customWidth="1"/>
    <col min="6" max="6" width="9.140625" style="338" customWidth="1"/>
    <col min="7" max="7" width="15.00390625" style="104" customWidth="1"/>
    <col min="8" max="8" width="0.9921875" style="104" customWidth="1"/>
    <col min="9" max="10" width="9.140625" style="104" customWidth="1"/>
    <col min="11" max="11" width="10.8515625" style="104" customWidth="1"/>
    <col min="12" max="12" width="12.57421875" style="104" customWidth="1"/>
    <col min="13" max="13" width="15.00390625" style="104" customWidth="1"/>
    <col min="14" max="14" width="1.7109375" style="104" customWidth="1"/>
    <col min="15" max="15" width="23.8515625" style="104" customWidth="1"/>
    <col min="16" max="16384" width="9.140625" style="104" customWidth="1"/>
  </cols>
  <sheetData>
    <row r="1" ht="18"/>
    <row r="2" ht="18">
      <c r="A2" s="26" t="s">
        <v>253</v>
      </c>
    </row>
    <row r="3" ht="18">
      <c r="A3" s="26" t="s">
        <v>252</v>
      </c>
    </row>
    <row r="4" ht="18">
      <c r="A4" s="26"/>
    </row>
    <row r="5" ht="18">
      <c r="A5" s="26"/>
    </row>
    <row r="6" ht="18.75" thickBot="1"/>
    <row r="7" spans="1:15" ht="14.25" thickBot="1" thickTop="1">
      <c r="A7" s="339"/>
      <c r="B7" s="340"/>
      <c r="C7" s="545" t="s">
        <v>258</v>
      </c>
      <c r="D7" s="546"/>
      <c r="E7" s="546"/>
      <c r="F7" s="546"/>
      <c r="G7" s="546"/>
      <c r="H7" s="341"/>
      <c r="I7" s="547" t="s">
        <v>259</v>
      </c>
      <c r="J7" s="548"/>
      <c r="K7" s="548"/>
      <c r="L7" s="548"/>
      <c r="M7" s="549"/>
      <c r="N7" s="341"/>
      <c r="O7" s="342"/>
    </row>
    <row r="8" spans="1:15" ht="26.25" customHeight="1">
      <c r="A8" s="535"/>
      <c r="B8" s="537" t="s">
        <v>6</v>
      </c>
      <c r="C8" s="539" t="s">
        <v>148</v>
      </c>
      <c r="D8" s="541" t="s">
        <v>149</v>
      </c>
      <c r="E8" s="550" t="s">
        <v>243</v>
      </c>
      <c r="F8" s="541" t="s">
        <v>244</v>
      </c>
      <c r="G8" s="343"/>
      <c r="H8" s="344"/>
      <c r="I8" s="543" t="s">
        <v>255</v>
      </c>
      <c r="J8" s="541" t="s">
        <v>256</v>
      </c>
      <c r="K8" s="541" t="s">
        <v>243</v>
      </c>
      <c r="L8" s="345"/>
      <c r="M8" s="346"/>
      <c r="N8" s="344"/>
      <c r="O8" s="533" t="s">
        <v>249</v>
      </c>
    </row>
    <row r="9" spans="1:15" ht="64.5" customHeight="1" thickBot="1">
      <c r="A9" s="536"/>
      <c r="B9" s="538"/>
      <c r="C9" s="540"/>
      <c r="D9" s="542"/>
      <c r="E9" s="551"/>
      <c r="F9" s="542"/>
      <c r="G9" s="347" t="s">
        <v>251</v>
      </c>
      <c r="H9" s="348"/>
      <c r="I9" s="544"/>
      <c r="J9" s="542"/>
      <c r="K9" s="542"/>
      <c r="L9" s="349" t="s">
        <v>257</v>
      </c>
      <c r="M9" s="350" t="s">
        <v>251</v>
      </c>
      <c r="N9" s="348"/>
      <c r="O9" s="534"/>
    </row>
    <row r="10" spans="1:15" ht="15" thickTop="1">
      <c r="A10" s="351">
        <v>1</v>
      </c>
      <c r="B10" s="352" t="s">
        <v>22</v>
      </c>
      <c r="C10" s="353" t="s">
        <v>23</v>
      </c>
      <c r="D10" s="211" t="s">
        <v>23</v>
      </c>
      <c r="E10" s="483">
        <v>0.3</v>
      </c>
      <c r="F10" s="354"/>
      <c r="G10" s="355">
        <f>IF(C10="","Check input",IF(C10="Y",IF(D10="","Check input",IF(D10="Y",IF(E10="","Check input",IF(F10="","","Check input")),IF(E10="",IF(F10="","Check input",""),"Check input"))),IF(D10="",IF(E10="",IF(F10="","","Check input"),"Check input"),"Check input")))</f>
      </c>
      <c r="H10" s="348"/>
      <c r="I10" s="356" t="s">
        <v>23</v>
      </c>
      <c r="J10" s="100" t="s">
        <v>24</v>
      </c>
      <c r="K10" s="100"/>
      <c r="L10" s="353">
        <v>0.86</v>
      </c>
      <c r="M10" s="357">
        <f>IF(I10="","Check input",IF(I10="Y",IF(J10="","Check input",IF(J10="Y",IF(K10="","Check input",IF(L10="","","Check input")),IF(K10="",IF(L10="","Check input",""),"Check input"))),IF(J10="",IF(K10="",IF(L10="","","Check input"),"Check input"),"Check input")))</f>
      </c>
      <c r="N10" s="348"/>
      <c r="O10" s="100">
        <f>IF(RPA!C4="No Criteria","No Criteria","")</f>
      </c>
    </row>
    <row r="11" spans="1:15" ht="14.25">
      <c r="A11" s="358">
        <v>2</v>
      </c>
      <c r="B11" s="359" t="s">
        <v>264</v>
      </c>
      <c r="C11" s="353" t="s">
        <v>23</v>
      </c>
      <c r="D11" s="211" t="s">
        <v>24</v>
      </c>
      <c r="E11" s="484"/>
      <c r="F11" s="208">
        <v>1.8</v>
      </c>
      <c r="G11" s="355">
        <f aca="true" t="shared" si="0" ref="G11:G75">IF(C11="","Check input",IF(C11="Y",IF(D11="","Check input",IF(D11="Y",IF(E11="","Check input",IF(F11="","","Check input")),IF(E11="",IF(F11="","Check input",""),"Check input"))),IF(D11="",IF(E11="",IF(F11="","","Check input"),"Check input"),"Check input")))</f>
      </c>
      <c r="H11" s="348"/>
      <c r="I11" s="360" t="s">
        <v>23</v>
      </c>
      <c r="J11" s="361" t="s">
        <v>24</v>
      </c>
      <c r="K11" s="361"/>
      <c r="L11" s="353">
        <v>5</v>
      </c>
      <c r="M11" s="357">
        <f aca="true" t="shared" si="1" ref="M11:M75">IF(I11="","Check input",IF(I11="Y",IF(J11="","Check input",IF(J11="Y",IF(K11="","Check input",IF(L11="","","Check input")),IF(K11="",IF(L11="","Check input",""),"Check input"))),IF(J11="",IF(K11="",IF(L11="","","Check input"),"Check input"),"Check input")))</f>
      </c>
      <c r="N11" s="348"/>
      <c r="O11" s="100">
        <f>IF(RPA!C5="No Criteria","No Criteria","")</f>
      </c>
    </row>
    <row r="12" spans="1:15" ht="14.25">
      <c r="A12" s="358">
        <v>3</v>
      </c>
      <c r="B12" s="359" t="s">
        <v>25</v>
      </c>
      <c r="C12" s="353" t="s">
        <v>23</v>
      </c>
      <c r="D12" s="211" t="s">
        <v>23</v>
      </c>
      <c r="E12" s="484">
        <v>0.04</v>
      </c>
      <c r="F12" s="208"/>
      <c r="G12" s="355">
        <f t="shared" si="0"/>
      </c>
      <c r="H12" s="348"/>
      <c r="I12" s="360" t="s">
        <v>23</v>
      </c>
      <c r="J12" s="361" t="s">
        <v>24</v>
      </c>
      <c r="K12" s="361"/>
      <c r="L12" s="353">
        <v>0.08</v>
      </c>
      <c r="M12" s="357">
        <f t="shared" si="1"/>
      </c>
      <c r="N12" s="348"/>
      <c r="O12" s="100" t="str">
        <f>IF(RPA!C6="No Criteria","No Criteria","")</f>
        <v>No Criteria</v>
      </c>
    </row>
    <row r="13" spans="1:15" ht="14.25">
      <c r="A13" s="358">
        <v>4</v>
      </c>
      <c r="B13" s="359" t="s">
        <v>265</v>
      </c>
      <c r="C13" s="353" t="s">
        <v>23</v>
      </c>
      <c r="D13" s="211" t="s">
        <v>23</v>
      </c>
      <c r="E13" s="484">
        <v>0.03</v>
      </c>
      <c r="F13" s="362"/>
      <c r="G13" s="355">
        <f t="shared" si="0"/>
      </c>
      <c r="H13" s="348"/>
      <c r="I13" s="360" t="s">
        <v>23</v>
      </c>
      <c r="J13" s="361" t="s">
        <v>24</v>
      </c>
      <c r="K13" s="361"/>
      <c r="L13" s="353">
        <v>0.23</v>
      </c>
      <c r="M13" s="357">
        <f t="shared" si="1"/>
      </c>
      <c r="N13" s="348"/>
      <c r="O13" s="100">
        <f>IF(RPA!C7="No Criteria","No Criteria","")</f>
      </c>
    </row>
    <row r="14" spans="1:15" ht="15">
      <c r="A14" s="358" t="s">
        <v>26</v>
      </c>
      <c r="B14" s="359" t="s">
        <v>302</v>
      </c>
      <c r="C14" s="353" t="s">
        <v>23</v>
      </c>
      <c r="D14" s="211" t="s">
        <v>23</v>
      </c>
      <c r="E14" s="485">
        <v>0.2</v>
      </c>
      <c r="F14" s="362"/>
      <c r="G14" s="355">
        <f t="shared" si="0"/>
      </c>
      <c r="H14" s="348"/>
      <c r="I14" s="360" t="s">
        <v>23</v>
      </c>
      <c r="J14" s="210" t="s">
        <v>24</v>
      </c>
      <c r="K14" s="210"/>
      <c r="L14" s="353">
        <v>9.1</v>
      </c>
      <c r="M14" s="357">
        <f t="shared" si="1"/>
      </c>
      <c r="N14" s="348"/>
      <c r="O14" s="100">
        <f>IF(RPA!C8="No Criteria","No Criteria","")</f>
      </c>
    </row>
    <row r="15" spans="1:15" ht="15">
      <c r="A15" s="358" t="s">
        <v>27</v>
      </c>
      <c r="B15" s="359" t="s">
        <v>298</v>
      </c>
      <c r="C15" s="353" t="s">
        <v>23</v>
      </c>
      <c r="D15" s="211" t="s">
        <v>23</v>
      </c>
      <c r="E15" s="485">
        <v>5</v>
      </c>
      <c r="F15" s="363"/>
      <c r="G15" s="355">
        <f t="shared" si="0"/>
      </c>
      <c r="H15" s="348"/>
      <c r="I15" s="360" t="s">
        <v>23</v>
      </c>
      <c r="J15" s="361" t="s">
        <v>23</v>
      </c>
      <c r="K15" s="210">
        <v>5</v>
      </c>
      <c r="L15" s="353"/>
      <c r="M15" s="357">
        <f t="shared" si="1"/>
      </c>
      <c r="N15" s="348"/>
      <c r="O15" s="100">
        <f>IF(RPA!C9="No Criteria","No Criteria","")</f>
      </c>
    </row>
    <row r="16" spans="1:15" ht="14.25">
      <c r="A16" s="358">
        <v>6</v>
      </c>
      <c r="B16" s="10" t="s">
        <v>205</v>
      </c>
      <c r="C16" s="353" t="s">
        <v>23</v>
      </c>
      <c r="D16" s="364" t="s">
        <v>24</v>
      </c>
      <c r="E16" s="486"/>
      <c r="F16" s="365">
        <v>2</v>
      </c>
      <c r="G16" s="355">
        <f t="shared" si="0"/>
      </c>
      <c r="H16" s="348"/>
      <c r="I16" s="360" t="s">
        <v>23</v>
      </c>
      <c r="J16" s="361" t="s">
        <v>24</v>
      </c>
      <c r="K16" s="366"/>
      <c r="L16" s="353">
        <v>14</v>
      </c>
      <c r="M16" s="357">
        <f t="shared" si="1"/>
      </c>
      <c r="N16" s="348"/>
      <c r="O16" s="100">
        <f>IF(RPA!C10="No Criteria","No Criteria","")</f>
      </c>
    </row>
    <row r="17" spans="1:15" ht="14.25">
      <c r="A17" s="358">
        <v>7</v>
      </c>
      <c r="B17" s="359" t="s">
        <v>266</v>
      </c>
      <c r="C17" s="353" t="s">
        <v>23</v>
      </c>
      <c r="D17" s="211" t="s">
        <v>23</v>
      </c>
      <c r="E17" s="486">
        <v>0.46</v>
      </c>
      <c r="F17" s="208"/>
      <c r="G17" s="355">
        <f t="shared" si="0"/>
      </c>
      <c r="H17" s="348"/>
      <c r="I17" s="360" t="s">
        <v>23</v>
      </c>
      <c r="J17" s="361" t="s">
        <v>24</v>
      </c>
      <c r="K17" s="210"/>
      <c r="L17" s="353">
        <v>9.3</v>
      </c>
      <c r="M17" s="357">
        <f t="shared" si="1"/>
      </c>
      <c r="N17" s="348"/>
      <c r="O17" s="100">
        <f>IF(RPA!C11="No Criteria","No Criteria","")</f>
      </c>
    </row>
    <row r="18" spans="1:15" ht="14.25">
      <c r="A18" s="358">
        <v>8</v>
      </c>
      <c r="B18" s="10" t="s">
        <v>267</v>
      </c>
      <c r="C18" s="353" t="s">
        <v>23</v>
      </c>
      <c r="D18" s="211" t="s">
        <v>23</v>
      </c>
      <c r="E18" s="486">
        <v>1E-05</v>
      </c>
      <c r="F18" s="208"/>
      <c r="G18" s="355">
        <f t="shared" si="0"/>
      </c>
      <c r="H18" s="348"/>
      <c r="I18" s="360" t="s">
        <v>23</v>
      </c>
      <c r="J18" s="361" t="s">
        <v>24</v>
      </c>
      <c r="K18" s="210"/>
      <c r="L18" s="353">
        <v>0.0328</v>
      </c>
      <c r="M18" s="357">
        <f t="shared" si="1"/>
      </c>
      <c r="N18" s="348"/>
      <c r="O18" s="100">
        <f>IF(RPA!C12="No Criteria","No Criteria","")</f>
      </c>
    </row>
    <row r="19" spans="1:15" ht="14.25">
      <c r="A19" s="358">
        <v>9</v>
      </c>
      <c r="B19" s="27" t="s">
        <v>268</v>
      </c>
      <c r="C19" s="353" t="s">
        <v>23</v>
      </c>
      <c r="D19" s="211" t="s">
        <v>23</v>
      </c>
      <c r="E19" s="486">
        <v>0.5</v>
      </c>
      <c r="F19" s="208"/>
      <c r="G19" s="355">
        <f t="shared" si="0"/>
      </c>
      <c r="H19" s="348"/>
      <c r="I19" s="360" t="s">
        <v>23</v>
      </c>
      <c r="J19" s="361" t="s">
        <v>24</v>
      </c>
      <c r="K19" s="210"/>
      <c r="L19" s="353">
        <v>10</v>
      </c>
      <c r="M19" s="357">
        <f t="shared" si="1"/>
      </c>
      <c r="N19" s="348"/>
      <c r="O19" s="100">
        <f>IF(RPA!C13="No Criteria","No Criteria","")</f>
      </c>
    </row>
    <row r="20" spans="1:15" ht="14.25">
      <c r="A20" s="358">
        <v>10</v>
      </c>
      <c r="B20" s="10" t="s">
        <v>209</v>
      </c>
      <c r="C20" s="353" t="s">
        <v>23</v>
      </c>
      <c r="D20" s="211" t="s">
        <v>23</v>
      </c>
      <c r="E20" s="486">
        <v>0.3</v>
      </c>
      <c r="F20" s="208"/>
      <c r="G20" s="355">
        <f t="shared" si="0"/>
      </c>
      <c r="H20" s="348"/>
      <c r="I20" s="360" t="s">
        <v>23</v>
      </c>
      <c r="J20" s="361" t="s">
        <v>24</v>
      </c>
      <c r="K20" s="210"/>
      <c r="L20" s="353">
        <v>15</v>
      </c>
      <c r="M20" s="357">
        <f t="shared" si="1"/>
      </c>
      <c r="N20" s="348"/>
      <c r="O20" s="100">
        <f>IF(RPA!C14="No Criteria","No Criteria","")</f>
      </c>
    </row>
    <row r="21" spans="1:15" ht="14.25">
      <c r="A21" s="358">
        <v>11</v>
      </c>
      <c r="B21" s="367" t="s">
        <v>269</v>
      </c>
      <c r="C21" s="353" t="s">
        <v>23</v>
      </c>
      <c r="D21" s="211" t="s">
        <v>23</v>
      </c>
      <c r="E21" s="486">
        <v>0.03</v>
      </c>
      <c r="F21" s="208"/>
      <c r="G21" s="355">
        <f t="shared" si="0"/>
      </c>
      <c r="H21" s="348"/>
      <c r="I21" s="360" t="s">
        <v>23</v>
      </c>
      <c r="J21" s="361" t="s">
        <v>24</v>
      </c>
      <c r="K21" s="210"/>
      <c r="L21" s="353">
        <v>0.12</v>
      </c>
      <c r="M21" s="357">
        <f t="shared" si="1"/>
      </c>
      <c r="N21" s="348"/>
      <c r="O21" s="100">
        <f>IF(RPA!C15="No Criteria","No Criteria","")</f>
      </c>
    </row>
    <row r="22" spans="1:15" ht="14.25">
      <c r="A22" s="358">
        <v>12</v>
      </c>
      <c r="B22" s="359" t="s">
        <v>28</v>
      </c>
      <c r="C22" s="353" t="s">
        <v>23</v>
      </c>
      <c r="D22" s="211" t="s">
        <v>23</v>
      </c>
      <c r="E22" s="486">
        <v>0.2</v>
      </c>
      <c r="F22" s="208"/>
      <c r="G22" s="355">
        <f t="shared" si="0"/>
      </c>
      <c r="H22" s="348"/>
      <c r="I22" s="360" t="s">
        <v>23</v>
      </c>
      <c r="J22" s="210" t="s">
        <v>24</v>
      </c>
      <c r="K22" s="210"/>
      <c r="L22" s="353">
        <v>0.2</v>
      </c>
      <c r="M22" s="357">
        <f>IF(I22="","Check input",IF(I22="Y",IF(J22="","Check input",IF(J22="Y",IF(K22="","Check input",IF(L22="","","Check input")),IF(K22="",IF(L22="","Check input",""),"Check input"))),IF(J22="",IF(K22="",IF(L22="","","Check input"),"Check input"),"Check input")))</f>
      </c>
      <c r="N22" s="348"/>
      <c r="O22" s="100">
        <f>IF(RPA!C16="No Criteria","No Criteria","")</f>
      </c>
    </row>
    <row r="23" spans="1:15" ht="14.25">
      <c r="A23" s="358">
        <v>13</v>
      </c>
      <c r="B23" s="10" t="s">
        <v>270</v>
      </c>
      <c r="C23" s="353" t="s">
        <v>23</v>
      </c>
      <c r="D23" s="211" t="s">
        <v>23</v>
      </c>
      <c r="E23" s="484">
        <v>3</v>
      </c>
      <c r="F23" s="208"/>
      <c r="G23" s="355">
        <f t="shared" si="0"/>
      </c>
      <c r="H23" s="348"/>
      <c r="I23" s="360" t="s">
        <v>23</v>
      </c>
      <c r="J23" s="361" t="s">
        <v>24</v>
      </c>
      <c r="K23" s="361"/>
      <c r="L23" s="353">
        <v>110</v>
      </c>
      <c r="M23" s="357">
        <f t="shared" si="1"/>
      </c>
      <c r="N23" s="348"/>
      <c r="O23" s="100">
        <f>IF(RPA!C17="No Criteria","No Criteria","")</f>
      </c>
    </row>
    <row r="24" spans="1:15" ht="14.25">
      <c r="A24" s="358">
        <v>14</v>
      </c>
      <c r="B24" s="10" t="s">
        <v>271</v>
      </c>
      <c r="C24" s="353" t="s">
        <v>23</v>
      </c>
      <c r="D24" s="361" t="s">
        <v>23</v>
      </c>
      <c r="E24" s="484">
        <v>3</v>
      </c>
      <c r="F24" s="208"/>
      <c r="G24" s="355">
        <f t="shared" si="0"/>
      </c>
      <c r="H24" s="348"/>
      <c r="I24" s="360" t="s">
        <v>23</v>
      </c>
      <c r="J24" s="361" t="s">
        <v>23</v>
      </c>
      <c r="K24" s="361">
        <v>5</v>
      </c>
      <c r="L24" s="353"/>
      <c r="M24" s="357">
        <f t="shared" si="1"/>
      </c>
      <c r="N24" s="348"/>
      <c r="O24" s="100">
        <f>IF(RPA!C18="No Criteria","No Criteria","")</f>
      </c>
    </row>
    <row r="25" spans="1:15" ht="14.25">
      <c r="A25" s="358">
        <v>15</v>
      </c>
      <c r="B25" s="359" t="s">
        <v>29</v>
      </c>
      <c r="C25" s="353" t="s">
        <v>23</v>
      </c>
      <c r="D25" s="364" t="s">
        <v>23</v>
      </c>
      <c r="E25" s="484">
        <v>0.021</v>
      </c>
      <c r="F25" s="208"/>
      <c r="G25" s="355">
        <f t="shared" si="0"/>
      </c>
      <c r="H25" s="348"/>
      <c r="I25" s="360" t="s">
        <v>24</v>
      </c>
      <c r="J25" s="361"/>
      <c r="K25" s="361"/>
      <c r="L25" s="353"/>
      <c r="M25" s="357">
        <f t="shared" si="1"/>
      </c>
      <c r="N25" s="348"/>
      <c r="O25" s="100" t="str">
        <f>IF(RPA!C19="No Criteria","No Criteria","")</f>
        <v>No Criteria</v>
      </c>
    </row>
    <row r="26" spans="1:15" ht="14.25">
      <c r="A26" s="368">
        <v>16</v>
      </c>
      <c r="B26" s="369" t="s">
        <v>303</v>
      </c>
      <c r="C26" s="353" t="s">
        <v>23</v>
      </c>
      <c r="D26" s="364" t="s">
        <v>23</v>
      </c>
      <c r="E26" s="484">
        <v>8.47E-07</v>
      </c>
      <c r="F26" s="208"/>
      <c r="G26" s="355">
        <f t="shared" si="0"/>
      </c>
      <c r="H26" s="348"/>
      <c r="I26" s="360" t="s">
        <v>23</v>
      </c>
      <c r="J26" s="361" t="s">
        <v>23</v>
      </c>
      <c r="K26" s="370">
        <v>1.8E-06</v>
      </c>
      <c r="M26" s="357">
        <f t="shared" si="1"/>
      </c>
      <c r="N26" s="348"/>
      <c r="O26" s="100"/>
    </row>
    <row r="27" spans="1:15" ht="14.25">
      <c r="A27" s="368"/>
      <c r="B27" s="13" t="s">
        <v>289</v>
      </c>
      <c r="C27" s="353" t="s">
        <v>23</v>
      </c>
      <c r="D27" s="361" t="s">
        <v>23</v>
      </c>
      <c r="E27" s="487">
        <v>1.68E-06</v>
      </c>
      <c r="F27" s="371"/>
      <c r="G27" s="355">
        <f t="shared" si="0"/>
      </c>
      <c r="H27" s="348"/>
      <c r="I27" s="360" t="s">
        <v>23</v>
      </c>
      <c r="J27" s="360" t="s">
        <v>24</v>
      </c>
      <c r="K27" s="361"/>
      <c r="L27" s="372">
        <v>1.257E-07</v>
      </c>
      <c r="M27" s="357">
        <f t="shared" si="1"/>
      </c>
      <c r="N27" s="348"/>
      <c r="O27" s="100">
        <f>IF(RPA!C21="No Criteria","No Criteria","")</f>
      </c>
    </row>
    <row r="28" spans="1:15" ht="14.25">
      <c r="A28" s="358">
        <v>17</v>
      </c>
      <c r="B28" s="359" t="s">
        <v>30</v>
      </c>
      <c r="C28" s="361" t="s">
        <v>24</v>
      </c>
      <c r="D28" s="364"/>
      <c r="E28" s="488"/>
      <c r="F28" s="373"/>
      <c r="G28" s="374">
        <f t="shared" si="0"/>
      </c>
      <c r="H28" s="375"/>
      <c r="I28" s="360" t="s">
        <v>23</v>
      </c>
      <c r="J28" s="360" t="s">
        <v>23</v>
      </c>
      <c r="K28" s="361">
        <v>5</v>
      </c>
      <c r="L28" s="353"/>
      <c r="M28" s="357">
        <f>IF(I28="","Check input",IF(I28="Y",IF(J28="","Check input",IF(J28="Y",IF(K28="","Check input",IF(L28="","","Check input")),IF(K28="",IF(L28="","Check input",""),"Check input"))),IF(J28="",IF(K28="",IF(L28="","","Check input"),"Check input"),"Check input")))</f>
      </c>
      <c r="N28" s="348"/>
      <c r="O28" s="100">
        <f>IF(RPA!C22="No Criteria","No Criteria","")</f>
      </c>
    </row>
    <row r="29" spans="1:15" ht="14.25">
      <c r="A29" s="358">
        <v>18</v>
      </c>
      <c r="B29" s="359" t="s">
        <v>31</v>
      </c>
      <c r="C29" s="353" t="s">
        <v>24</v>
      </c>
      <c r="D29" s="376"/>
      <c r="E29" s="489"/>
      <c r="F29" s="194"/>
      <c r="G29" s="355">
        <f t="shared" si="0"/>
      </c>
      <c r="H29" s="348"/>
      <c r="I29" s="360" t="s">
        <v>23</v>
      </c>
      <c r="J29" s="360" t="s">
        <v>23</v>
      </c>
      <c r="K29" s="361">
        <v>2</v>
      </c>
      <c r="L29" s="353"/>
      <c r="M29" s="357">
        <f>IF(I29="","Check input",IF(I29="Y",IF(J29="","Check input",IF(J29="Y",IF(K29="","Check input",IF(L29="","","Check input")),IF(K29="",IF(L29="","Check input",""),"Check input"))),IF(J29="",IF(K29="",IF(L29="","","Check input"),"Check input"),"Check input")))</f>
      </c>
      <c r="N29" s="348"/>
      <c r="O29" s="100">
        <f>IF(RPA!C23="No Criteria","No Criteria","")</f>
      </c>
    </row>
    <row r="30" spans="1:15" ht="14.25">
      <c r="A30" s="358">
        <v>19</v>
      </c>
      <c r="B30" s="359" t="s">
        <v>32</v>
      </c>
      <c r="C30" s="353" t="s">
        <v>23</v>
      </c>
      <c r="D30" s="364" t="s">
        <v>23</v>
      </c>
      <c r="E30" s="490">
        <v>0.15</v>
      </c>
      <c r="F30" s="194"/>
      <c r="G30" s="355">
        <f t="shared" si="0"/>
      </c>
      <c r="H30" s="348"/>
      <c r="I30" s="360" t="s">
        <v>23</v>
      </c>
      <c r="J30" s="360" t="s">
        <v>23</v>
      </c>
      <c r="K30" s="361">
        <v>0.15</v>
      </c>
      <c r="L30" s="353"/>
      <c r="M30" s="357">
        <f>IF(I30="","Check input",IF(I30="Y",IF(J30="","Check input",IF(J30="Y",IF(K30="","Check input",IF(L30="","","Check input")),IF(K30="",IF(L30="","Check input",""),"Check input"))),IF(J30="",IF(K30="",IF(L30="","","Check input"),"Check input"),"Check input")))</f>
      </c>
      <c r="N30" s="348"/>
      <c r="O30" s="100">
        <f>IF(RPA!C24="No Criteria","No Criteria","")</f>
      </c>
    </row>
    <row r="31" spans="1:15" ht="14.25">
      <c r="A31" s="358">
        <v>20</v>
      </c>
      <c r="B31" s="359" t="s">
        <v>33</v>
      </c>
      <c r="C31" s="353" t="s">
        <v>23</v>
      </c>
      <c r="D31" s="364" t="s">
        <v>23</v>
      </c>
      <c r="E31" s="491">
        <v>0.33</v>
      </c>
      <c r="F31" s="373"/>
      <c r="G31" s="374">
        <f t="shared" si="0"/>
      </c>
      <c r="H31" s="375"/>
      <c r="I31" s="360" t="s">
        <v>23</v>
      </c>
      <c r="J31" s="360" t="s">
        <v>23</v>
      </c>
      <c r="K31" s="361">
        <v>0.33</v>
      </c>
      <c r="L31" s="353"/>
      <c r="M31" s="357">
        <f>IF(I31="","Check input",IF(I31="Y",IF(J31="","Check input",IF(J31="Y",IF(K31="","Check input",IF(L31="","","Check input")),IF(K31="",IF(L31="","Check input",""),"Check input"))),IF(J31="",IF(K31="",IF(L31="","","Check input"),"Check input"),"Check input")))</f>
      </c>
      <c r="N31" s="348"/>
      <c r="O31" s="100">
        <f>IF(RPA!C25="No Criteria","No Criteria","")</f>
      </c>
    </row>
    <row r="32" spans="1:15" ht="14.25">
      <c r="A32" s="358">
        <v>21</v>
      </c>
      <c r="B32" s="359" t="s">
        <v>34</v>
      </c>
      <c r="C32" s="353" t="s">
        <v>23</v>
      </c>
      <c r="D32" s="364" t="s">
        <v>23</v>
      </c>
      <c r="E32" s="492">
        <v>0.48</v>
      </c>
      <c r="F32" s="194"/>
      <c r="G32" s="355">
        <f t="shared" si="0"/>
      </c>
      <c r="H32" s="348"/>
      <c r="I32" s="360" t="s">
        <v>23</v>
      </c>
      <c r="J32" s="360" t="s">
        <v>23</v>
      </c>
      <c r="K32" s="361">
        <v>0.48</v>
      </c>
      <c r="L32" s="353"/>
      <c r="M32" s="357">
        <f>IF(I32="","Check input",IF(I32="Y",IF(J32="","Check input",IF(J32="Y",IF(K32="","Check input",IF(L32="","","Check input")),IF(K32="",IF(L32="","Check input",""),"Check input"))),IF(J32="",IF(K32="",IF(L32="","","Check input"),"Check input"),"Check input")))</f>
      </c>
      <c r="N32" s="348"/>
      <c r="O32" s="100">
        <f>IF(RPA!C26="No Criteria","No Criteria","")</f>
      </c>
    </row>
    <row r="33" spans="1:15" ht="14.25">
      <c r="A33" s="358">
        <v>22</v>
      </c>
      <c r="B33" s="359" t="s">
        <v>35</v>
      </c>
      <c r="C33" s="353" t="s">
        <v>23</v>
      </c>
      <c r="D33" s="364" t="s">
        <v>23</v>
      </c>
      <c r="E33" s="492">
        <v>0.13</v>
      </c>
      <c r="F33" s="194"/>
      <c r="G33" s="355">
        <f t="shared" si="0"/>
      </c>
      <c r="H33" s="348"/>
      <c r="I33" s="360" t="s">
        <v>23</v>
      </c>
      <c r="J33" s="360" t="s">
        <v>23</v>
      </c>
      <c r="K33" s="361">
        <v>0.13</v>
      </c>
      <c r="L33" s="353"/>
      <c r="M33" s="357">
        <f t="shared" si="1"/>
      </c>
      <c r="N33" s="348"/>
      <c r="O33" s="100">
        <f>IF(RPA!C27="No Criteria","No Criteria","")</f>
      </c>
    </row>
    <row r="34" spans="1:15" ht="14.25">
      <c r="A34" s="358">
        <v>23</v>
      </c>
      <c r="B34" s="359" t="s">
        <v>36</v>
      </c>
      <c r="C34" s="353" t="s">
        <v>23</v>
      </c>
      <c r="D34" s="364" t="s">
        <v>23</v>
      </c>
      <c r="E34" s="493">
        <v>0.36</v>
      </c>
      <c r="F34" s="373"/>
      <c r="G34" s="374">
        <f t="shared" si="0"/>
      </c>
      <c r="H34" s="375"/>
      <c r="I34" s="360" t="s">
        <v>23</v>
      </c>
      <c r="J34" s="360" t="s">
        <v>24</v>
      </c>
      <c r="L34" s="361">
        <v>0.25</v>
      </c>
      <c r="M34" s="357">
        <f t="shared" si="1"/>
      </c>
      <c r="N34" s="348"/>
      <c r="O34" s="100">
        <f>IF(RPA!C28="No Criteria","No Criteria","")</f>
      </c>
    </row>
    <row r="35" spans="1:15" ht="14.25">
      <c r="A35" s="358">
        <v>24</v>
      </c>
      <c r="B35" s="359" t="s">
        <v>37</v>
      </c>
      <c r="C35" s="353" t="s">
        <v>23</v>
      </c>
      <c r="D35" s="364" t="s">
        <v>23</v>
      </c>
      <c r="E35" s="492">
        <v>0.23</v>
      </c>
      <c r="F35" s="194"/>
      <c r="G35" s="355">
        <f t="shared" si="0"/>
      </c>
      <c r="H35" s="348"/>
      <c r="I35" s="360" t="s">
        <v>23</v>
      </c>
      <c r="J35" s="360" t="s">
        <v>23</v>
      </c>
      <c r="K35" s="361">
        <v>0.29</v>
      </c>
      <c r="L35" s="357"/>
      <c r="M35" s="357">
        <f t="shared" si="1"/>
      </c>
      <c r="N35" s="348"/>
      <c r="O35" s="100" t="str">
        <f>IF(RPA!C29="No Criteria","No Criteria","")</f>
        <v>No Criteria</v>
      </c>
    </row>
    <row r="36" spans="1:15" ht="14.25">
      <c r="A36" s="358">
        <v>25</v>
      </c>
      <c r="B36" s="359" t="s">
        <v>38</v>
      </c>
      <c r="C36" s="353" t="s">
        <v>24</v>
      </c>
      <c r="D36" s="376"/>
      <c r="E36" s="494"/>
      <c r="F36" s="194"/>
      <c r="G36" s="355">
        <f t="shared" si="0"/>
      </c>
      <c r="H36" s="348"/>
      <c r="I36" s="360" t="s">
        <v>23</v>
      </c>
      <c r="J36" s="360" t="s">
        <v>23</v>
      </c>
      <c r="K36" s="361">
        <v>0.5</v>
      </c>
      <c r="L36" s="357"/>
      <c r="M36" s="357">
        <f t="shared" si="1"/>
      </c>
      <c r="N36" s="348"/>
      <c r="O36" s="100" t="str">
        <f>IF(RPA!C30="No Criteria","No Criteria","")</f>
        <v>No Criteria</v>
      </c>
    </row>
    <row r="37" spans="1:15" ht="14.25">
      <c r="A37" s="358">
        <v>26</v>
      </c>
      <c r="B37" s="359" t="s">
        <v>39</v>
      </c>
      <c r="C37" s="353" t="s">
        <v>23</v>
      </c>
      <c r="D37" s="364" t="s">
        <v>24</v>
      </c>
      <c r="E37" s="494"/>
      <c r="F37" s="277">
        <v>19</v>
      </c>
      <c r="G37" s="374">
        <f t="shared" si="0"/>
      </c>
      <c r="H37" s="375"/>
      <c r="I37" s="360" t="s">
        <v>23</v>
      </c>
      <c r="J37" s="360" t="s">
        <v>24</v>
      </c>
      <c r="L37" s="361">
        <v>22</v>
      </c>
      <c r="M37" s="357">
        <f t="shared" si="1"/>
      </c>
      <c r="N37" s="348"/>
      <c r="O37" s="100" t="str">
        <f>IF(RPA!C31="No Criteria","No Criteria","")</f>
        <v>No Criteria</v>
      </c>
    </row>
    <row r="38" spans="1:15" ht="14.25">
      <c r="A38" s="358">
        <v>27</v>
      </c>
      <c r="B38" s="359" t="s">
        <v>40</v>
      </c>
      <c r="C38" s="353" t="s">
        <v>23</v>
      </c>
      <c r="D38" s="364" t="s">
        <v>24</v>
      </c>
      <c r="E38" s="494"/>
      <c r="F38" s="278">
        <v>1.9</v>
      </c>
      <c r="G38" s="374">
        <f t="shared" si="0"/>
      </c>
      <c r="H38" s="375"/>
      <c r="I38" s="360" t="s">
        <v>23</v>
      </c>
      <c r="J38" s="360" t="s">
        <v>24</v>
      </c>
      <c r="K38" s="361"/>
      <c r="L38" s="357">
        <v>1.9</v>
      </c>
      <c r="M38" s="357">
        <f t="shared" si="1"/>
      </c>
      <c r="N38" s="348"/>
      <c r="O38" s="100">
        <f>IF(RPA!C32="No Criteria","No Criteria","")</f>
      </c>
    </row>
    <row r="39" spans="1:15" ht="14.25">
      <c r="A39" s="358">
        <v>28</v>
      </c>
      <c r="B39" s="359" t="s">
        <v>41</v>
      </c>
      <c r="C39" s="353" t="s">
        <v>23</v>
      </c>
      <c r="D39" s="364" t="s">
        <v>23</v>
      </c>
      <c r="E39" s="494">
        <v>0.28</v>
      </c>
      <c r="F39" s="194"/>
      <c r="G39" s="355">
        <f t="shared" si="0"/>
      </c>
      <c r="H39" s="348"/>
      <c r="I39" s="360" t="s">
        <v>23</v>
      </c>
      <c r="J39" s="360" t="s">
        <v>23</v>
      </c>
      <c r="K39" s="361">
        <v>0.28</v>
      </c>
      <c r="L39" s="357"/>
      <c r="M39" s="357">
        <f t="shared" si="1"/>
      </c>
      <c r="N39" s="348"/>
      <c r="O39" s="100" t="str">
        <f>IF(RPA!C33="No Criteria","No Criteria","")</f>
        <v>No Criteria</v>
      </c>
    </row>
    <row r="40" spans="1:15" ht="14.25">
      <c r="A40" s="358">
        <v>29</v>
      </c>
      <c r="B40" s="359" t="s">
        <v>42</v>
      </c>
      <c r="C40" s="353" t="s">
        <v>23</v>
      </c>
      <c r="D40" s="364" t="s">
        <v>23</v>
      </c>
      <c r="E40" s="494">
        <v>0.24</v>
      </c>
      <c r="F40" s="194"/>
      <c r="G40" s="355">
        <f t="shared" si="0"/>
      </c>
      <c r="H40" s="348"/>
      <c r="I40" s="360" t="s">
        <v>23</v>
      </c>
      <c r="J40" s="360" t="s">
        <v>23</v>
      </c>
      <c r="K40" s="361">
        <v>0.24</v>
      </c>
      <c r="L40" s="357"/>
      <c r="M40" s="357">
        <f t="shared" si="1"/>
      </c>
      <c r="N40" s="348"/>
      <c r="O40" s="100">
        <f>IF(RPA!C34="No Criteria","No Criteria","")</f>
      </c>
    </row>
    <row r="41" spans="1:15" ht="14.25">
      <c r="A41" s="358">
        <v>30</v>
      </c>
      <c r="B41" s="359" t="s">
        <v>43</v>
      </c>
      <c r="C41" s="353" t="s">
        <v>23</v>
      </c>
      <c r="D41" s="364" t="s">
        <v>23</v>
      </c>
      <c r="E41" s="494">
        <v>0.3</v>
      </c>
      <c r="F41" s="194"/>
      <c r="G41" s="355">
        <f t="shared" si="0"/>
      </c>
      <c r="H41" s="348"/>
      <c r="I41" s="360" t="s">
        <v>23</v>
      </c>
      <c r="J41" s="360" t="s">
        <v>23</v>
      </c>
      <c r="K41" s="361">
        <v>0.3</v>
      </c>
      <c r="L41" s="357"/>
      <c r="M41" s="357">
        <f t="shared" si="1"/>
      </c>
      <c r="N41" s="348"/>
      <c r="O41" s="100">
        <f>IF(RPA!C35="No Criteria","No Criteria","")</f>
      </c>
    </row>
    <row r="42" spans="1:15" ht="14.25">
      <c r="A42" s="358">
        <v>31</v>
      </c>
      <c r="B42" s="359" t="s">
        <v>44</v>
      </c>
      <c r="C42" s="353" t="s">
        <v>23</v>
      </c>
      <c r="D42" s="364" t="s">
        <v>23</v>
      </c>
      <c r="E42" s="494">
        <v>0.16</v>
      </c>
      <c r="F42" s="194"/>
      <c r="G42" s="355">
        <f t="shared" si="0"/>
      </c>
      <c r="H42" s="348"/>
      <c r="I42" s="360" t="s">
        <v>23</v>
      </c>
      <c r="J42" s="360" t="s">
        <v>23</v>
      </c>
      <c r="K42" s="361">
        <v>0.5</v>
      </c>
      <c r="L42" s="357"/>
      <c r="M42" s="357">
        <f t="shared" si="1"/>
      </c>
      <c r="N42" s="348"/>
      <c r="O42" s="100">
        <f>IF(RPA!C36="No Criteria","No Criteria","")</f>
      </c>
    </row>
    <row r="43" spans="1:15" ht="14.25">
      <c r="A43" s="358">
        <v>32</v>
      </c>
      <c r="B43" s="359" t="s">
        <v>45</v>
      </c>
      <c r="C43" s="353" t="s">
        <v>24</v>
      </c>
      <c r="D43" s="364"/>
      <c r="E43" s="494"/>
      <c r="F43" s="373"/>
      <c r="G43" s="374">
        <f t="shared" si="0"/>
      </c>
      <c r="H43" s="375"/>
      <c r="I43" s="360" t="s">
        <v>24</v>
      </c>
      <c r="J43" s="360"/>
      <c r="K43" s="361"/>
      <c r="L43" s="357"/>
      <c r="M43" s="357">
        <f t="shared" si="1"/>
      </c>
      <c r="N43" s="348"/>
      <c r="O43" s="100">
        <f>IF(RPA!C37="No Criteria","No Criteria","")</f>
      </c>
    </row>
    <row r="44" spans="1:15" ht="14.25">
      <c r="A44" s="358">
        <v>33</v>
      </c>
      <c r="B44" s="359" t="s">
        <v>46</v>
      </c>
      <c r="C44" s="353" t="s">
        <v>23</v>
      </c>
      <c r="D44" s="364" t="s">
        <v>23</v>
      </c>
      <c r="E44" s="494">
        <v>0.2</v>
      </c>
      <c r="F44" s="373"/>
      <c r="G44" s="374">
        <f t="shared" si="0"/>
      </c>
      <c r="H44" s="375"/>
      <c r="I44" s="360" t="s">
        <v>23</v>
      </c>
      <c r="J44" s="360" t="s">
        <v>23</v>
      </c>
      <c r="K44" s="361">
        <v>0.2</v>
      </c>
      <c r="L44" s="357"/>
      <c r="M44" s="357">
        <f t="shared" si="1"/>
      </c>
      <c r="N44" s="348"/>
      <c r="O44" s="100">
        <f>IF(RPA!C38="No Criteria","No Criteria","")</f>
      </c>
    </row>
    <row r="45" spans="1:15" ht="14.25">
      <c r="A45" s="358">
        <v>34</v>
      </c>
      <c r="B45" s="359" t="s">
        <v>47</v>
      </c>
      <c r="C45" s="353" t="s">
        <v>23</v>
      </c>
      <c r="D45" s="364" t="s">
        <v>23</v>
      </c>
      <c r="E45" s="494">
        <v>0.4</v>
      </c>
      <c r="F45" s="373"/>
      <c r="G45" s="374">
        <f t="shared" si="0"/>
      </c>
      <c r="H45" s="375"/>
      <c r="I45" s="360" t="s">
        <v>24</v>
      </c>
      <c r="J45" s="360"/>
      <c r="K45" s="361"/>
      <c r="L45" s="357"/>
      <c r="M45" s="357">
        <f t="shared" si="1"/>
      </c>
      <c r="N45" s="348"/>
      <c r="O45" s="100">
        <f>IF(RPA!C39="No Criteria","No Criteria","")</f>
      </c>
    </row>
    <row r="46" spans="1:15" ht="14.25">
      <c r="A46" s="358">
        <v>35</v>
      </c>
      <c r="B46" s="359" t="s">
        <v>48</v>
      </c>
      <c r="C46" s="353" t="s">
        <v>23</v>
      </c>
      <c r="D46" s="364" t="s">
        <v>23</v>
      </c>
      <c r="E46" s="494">
        <v>0.34</v>
      </c>
      <c r="F46" s="373"/>
      <c r="G46" s="374">
        <f t="shared" si="0"/>
      </c>
      <c r="H46" s="375"/>
      <c r="I46" s="360" t="s">
        <v>24</v>
      </c>
      <c r="J46" s="360"/>
      <c r="K46" s="361"/>
      <c r="L46" s="357"/>
      <c r="M46" s="357">
        <f t="shared" si="1"/>
      </c>
      <c r="N46" s="348"/>
      <c r="O46" s="100" t="str">
        <f>IF(RPA!C40="No Criteria","No Criteria","")</f>
        <v>No Criteria</v>
      </c>
    </row>
    <row r="47" spans="1:15" ht="14.25">
      <c r="A47" s="358">
        <v>36</v>
      </c>
      <c r="B47" s="359" t="s">
        <v>49</v>
      </c>
      <c r="C47" s="353" t="s">
        <v>23</v>
      </c>
      <c r="D47" s="364" t="s">
        <v>23</v>
      </c>
      <c r="E47" s="494">
        <v>0.88</v>
      </c>
      <c r="F47" s="373"/>
      <c r="G47" s="374">
        <f t="shared" si="0"/>
      </c>
      <c r="H47" s="375"/>
      <c r="I47" s="360" t="s">
        <v>23</v>
      </c>
      <c r="J47" s="360" t="s">
        <v>24</v>
      </c>
      <c r="K47" s="361"/>
      <c r="L47" s="357">
        <v>2.1</v>
      </c>
      <c r="M47" s="357">
        <f t="shared" si="1"/>
      </c>
      <c r="N47" s="348"/>
      <c r="O47" s="100">
        <f>IF(RPA!C41="No Criteria","No Criteria","")</f>
      </c>
    </row>
    <row r="48" spans="1:15" ht="14.25">
      <c r="A48" s="358">
        <v>37</v>
      </c>
      <c r="B48" s="359" t="s">
        <v>50</v>
      </c>
      <c r="C48" s="353" t="s">
        <v>23</v>
      </c>
      <c r="D48" s="364" t="s">
        <v>23</v>
      </c>
      <c r="E48" s="494">
        <v>0.16</v>
      </c>
      <c r="F48" s="194"/>
      <c r="G48" s="355">
        <f t="shared" si="0"/>
      </c>
      <c r="H48" s="348"/>
      <c r="I48" s="360" t="s">
        <v>23</v>
      </c>
      <c r="J48" s="360" t="s">
        <v>23</v>
      </c>
      <c r="K48" s="361">
        <v>0.16</v>
      </c>
      <c r="L48" s="357"/>
      <c r="M48" s="357">
        <f t="shared" si="1"/>
      </c>
      <c r="N48" s="348"/>
      <c r="O48" s="100">
        <f>IF(RPA!C42="No Criteria","No Criteria","")</f>
      </c>
    </row>
    <row r="49" spans="1:15" ht="14.25">
      <c r="A49" s="358">
        <v>38</v>
      </c>
      <c r="B49" s="359" t="s">
        <v>51</v>
      </c>
      <c r="C49" s="353" t="s">
        <v>23</v>
      </c>
      <c r="D49" s="364" t="s">
        <v>23</v>
      </c>
      <c r="E49" s="494">
        <v>0.15</v>
      </c>
      <c r="F49" s="373"/>
      <c r="G49" s="374">
        <f t="shared" si="0"/>
      </c>
      <c r="H49" s="375"/>
      <c r="I49" s="360" t="s">
        <v>23</v>
      </c>
      <c r="J49" s="360" t="s">
        <v>23</v>
      </c>
      <c r="K49" s="361">
        <v>0.15</v>
      </c>
      <c r="L49" s="357"/>
      <c r="M49" s="357">
        <f t="shared" si="1"/>
      </c>
      <c r="N49" s="348"/>
      <c r="O49" s="100">
        <f>IF(RPA!C43="No Criteria","No Criteria","")</f>
      </c>
    </row>
    <row r="50" spans="1:15" ht="14.25">
      <c r="A50" s="358">
        <v>39</v>
      </c>
      <c r="B50" s="359" t="s">
        <v>52</v>
      </c>
      <c r="C50" s="353" t="s">
        <v>23</v>
      </c>
      <c r="D50" s="364" t="s">
        <v>23</v>
      </c>
      <c r="E50" s="494">
        <v>0.4</v>
      </c>
      <c r="F50" s="373"/>
      <c r="G50" s="374">
        <f t="shared" si="0"/>
      </c>
      <c r="H50" s="375"/>
      <c r="I50" s="360" t="s">
        <v>23</v>
      </c>
      <c r="J50" s="360" t="s">
        <v>23</v>
      </c>
      <c r="K50" s="361">
        <v>0.4</v>
      </c>
      <c r="L50" s="357"/>
      <c r="M50" s="357">
        <f t="shared" si="1"/>
      </c>
      <c r="N50" s="348"/>
      <c r="O50" s="100">
        <f>IF(RPA!C44="No Criteria","No Criteria","")</f>
      </c>
    </row>
    <row r="51" spans="1:15" ht="14.25">
      <c r="A51" s="358">
        <v>40</v>
      </c>
      <c r="B51" s="359" t="s">
        <v>53</v>
      </c>
      <c r="C51" s="353" t="s">
        <v>23</v>
      </c>
      <c r="D51" s="364" t="s">
        <v>23</v>
      </c>
      <c r="E51" s="494">
        <v>0.2</v>
      </c>
      <c r="F51" s="373"/>
      <c r="G51" s="374">
        <f t="shared" si="0"/>
      </c>
      <c r="H51" s="375"/>
      <c r="I51" s="360" t="s">
        <v>23</v>
      </c>
      <c r="J51" s="360" t="s">
        <v>23</v>
      </c>
      <c r="K51" s="361">
        <v>0.2</v>
      </c>
      <c r="L51" s="357"/>
      <c r="M51" s="357">
        <f t="shared" si="1"/>
      </c>
      <c r="N51" s="348"/>
      <c r="O51" s="100">
        <f>IF(RPA!C45="No Criteria","No Criteria","")</f>
      </c>
    </row>
    <row r="52" spans="1:15" ht="14.25">
      <c r="A52" s="358">
        <v>41</v>
      </c>
      <c r="B52" s="359" t="s">
        <v>54</v>
      </c>
      <c r="C52" s="353" t="s">
        <v>23</v>
      </c>
      <c r="D52" s="364" t="s">
        <v>23</v>
      </c>
      <c r="E52" s="494">
        <v>0.28</v>
      </c>
      <c r="F52" s="194"/>
      <c r="G52" s="355">
        <f t="shared" si="0"/>
      </c>
      <c r="H52" s="348"/>
      <c r="I52" s="360" t="s">
        <v>23</v>
      </c>
      <c r="J52" s="360" t="s">
        <v>23</v>
      </c>
      <c r="K52" s="361">
        <v>0.28</v>
      </c>
      <c r="L52" s="357"/>
      <c r="M52" s="357">
        <f t="shared" si="1"/>
      </c>
      <c r="N52" s="348"/>
      <c r="O52" s="100" t="str">
        <f>IF(RPA!C46="No Criteria","No Criteria","")</f>
        <v>No Criteria</v>
      </c>
    </row>
    <row r="53" spans="1:15" ht="14.25">
      <c r="A53" s="358">
        <v>42</v>
      </c>
      <c r="B53" s="359" t="s">
        <v>55</v>
      </c>
      <c r="C53" s="353" t="s">
        <v>23</v>
      </c>
      <c r="D53" s="364" t="s">
        <v>23</v>
      </c>
      <c r="E53" s="494">
        <v>0.24</v>
      </c>
      <c r="F53" s="194"/>
      <c r="G53" s="355">
        <f t="shared" si="0"/>
      </c>
      <c r="H53" s="348"/>
      <c r="I53" s="360" t="s">
        <v>23</v>
      </c>
      <c r="J53" s="360" t="s">
        <v>23</v>
      </c>
      <c r="K53" s="361">
        <v>0.24</v>
      </c>
      <c r="L53" s="357"/>
      <c r="M53" s="357">
        <f t="shared" si="1"/>
      </c>
      <c r="N53" s="348"/>
      <c r="O53" s="100">
        <f>IF(RPA!C47="No Criteria","No Criteria","")</f>
      </c>
    </row>
    <row r="54" spans="1:15" ht="14.25">
      <c r="A54" s="358">
        <v>43</v>
      </c>
      <c r="B54" s="359" t="s">
        <v>56</v>
      </c>
      <c r="C54" s="353" t="s">
        <v>23</v>
      </c>
      <c r="D54" s="364" t="s">
        <v>23</v>
      </c>
      <c r="E54" s="494">
        <v>0.3</v>
      </c>
      <c r="F54" s="194"/>
      <c r="G54" s="355">
        <f t="shared" si="0"/>
      </c>
      <c r="H54" s="348"/>
      <c r="I54" s="360" t="s">
        <v>23</v>
      </c>
      <c r="J54" s="360" t="s">
        <v>23</v>
      </c>
      <c r="K54" s="361">
        <v>0.3</v>
      </c>
      <c r="L54" s="357"/>
      <c r="M54" s="357">
        <f t="shared" si="1"/>
      </c>
      <c r="N54" s="348"/>
      <c r="O54" s="100">
        <f>IF(RPA!C48="No Criteria","No Criteria","")</f>
      </c>
    </row>
    <row r="55" spans="1:15" ht="14.25">
      <c r="A55" s="358">
        <v>44</v>
      </c>
      <c r="B55" s="359" t="s">
        <v>57</v>
      </c>
      <c r="C55" s="353" t="s">
        <v>23</v>
      </c>
      <c r="D55" s="364" t="s">
        <v>23</v>
      </c>
      <c r="E55" s="494">
        <v>0.32</v>
      </c>
      <c r="F55" s="194"/>
      <c r="G55" s="355">
        <f t="shared" si="0"/>
      </c>
      <c r="H55" s="348"/>
      <c r="I55" s="360" t="s">
        <v>23</v>
      </c>
      <c r="J55" s="360" t="s">
        <v>23</v>
      </c>
      <c r="K55" s="361">
        <v>0.32</v>
      </c>
      <c r="L55" s="357"/>
      <c r="M55" s="357">
        <f t="shared" si="1"/>
      </c>
      <c r="N55" s="348"/>
      <c r="O55" s="100">
        <f>IF(RPA!C49="No Criteria","No Criteria","")</f>
      </c>
    </row>
    <row r="56" spans="1:15" ht="14.25">
      <c r="A56" s="358">
        <v>45</v>
      </c>
      <c r="B56" s="359" t="s">
        <v>58</v>
      </c>
      <c r="C56" s="353" t="s">
        <v>23</v>
      </c>
      <c r="D56" s="364" t="s">
        <v>23</v>
      </c>
      <c r="E56" s="494">
        <v>0.8</v>
      </c>
      <c r="F56" s="194"/>
      <c r="G56" s="355">
        <f t="shared" si="0"/>
      </c>
      <c r="H56" s="348"/>
      <c r="I56" s="360" t="s">
        <v>23</v>
      </c>
      <c r="J56" s="360" t="s">
        <v>23</v>
      </c>
      <c r="K56" s="361">
        <v>0.8</v>
      </c>
      <c r="L56" s="357"/>
      <c r="M56" s="357">
        <f t="shared" si="1"/>
      </c>
      <c r="N56" s="348"/>
      <c r="O56" s="100">
        <f>IF(RPA!C50="No Criteria","No Criteria","")</f>
      </c>
    </row>
    <row r="57" spans="1:15" ht="14.25">
      <c r="A57" s="358">
        <v>46</v>
      </c>
      <c r="B57" s="359" t="s">
        <v>59</v>
      </c>
      <c r="C57" s="353" t="s">
        <v>23</v>
      </c>
      <c r="D57" s="364" t="s">
        <v>23</v>
      </c>
      <c r="E57" s="494">
        <v>0.6</v>
      </c>
      <c r="F57" s="194"/>
      <c r="G57" s="355">
        <f t="shared" si="0"/>
      </c>
      <c r="H57" s="348"/>
      <c r="I57" s="360" t="s">
        <v>23</v>
      </c>
      <c r="J57" s="360" t="s">
        <v>23</v>
      </c>
      <c r="K57" s="361">
        <v>0.6</v>
      </c>
      <c r="L57" s="357"/>
      <c r="M57" s="357">
        <f t="shared" si="1"/>
      </c>
      <c r="N57" s="348"/>
      <c r="O57" s="100">
        <f>IF(RPA!C51="No Criteria","No Criteria","")</f>
      </c>
    </row>
    <row r="58" spans="1:15" ht="14.25">
      <c r="A58" s="358">
        <v>47</v>
      </c>
      <c r="B58" s="359" t="s">
        <v>60</v>
      </c>
      <c r="C58" s="353" t="s">
        <v>23</v>
      </c>
      <c r="D58" s="364" t="s">
        <v>23</v>
      </c>
      <c r="E58" s="494">
        <v>1</v>
      </c>
      <c r="F58" s="194"/>
      <c r="G58" s="355">
        <f t="shared" si="0"/>
      </c>
      <c r="H58" s="348"/>
      <c r="I58" s="360" t="s">
        <v>23</v>
      </c>
      <c r="J58" s="360" t="s">
        <v>23</v>
      </c>
      <c r="K58" s="361">
        <v>1</v>
      </c>
      <c r="L58" s="357"/>
      <c r="M58" s="357">
        <f t="shared" si="1"/>
      </c>
      <c r="N58" s="348"/>
      <c r="O58" s="100">
        <f>IF(RPA!C52="No Criteria","No Criteria","")</f>
      </c>
    </row>
    <row r="59" spans="1:15" ht="14.25">
      <c r="A59" s="358">
        <v>48</v>
      </c>
      <c r="B59" s="359" t="s">
        <v>61</v>
      </c>
      <c r="C59" s="353" t="s">
        <v>23</v>
      </c>
      <c r="D59" s="364" t="s">
        <v>23</v>
      </c>
      <c r="E59" s="494">
        <v>1</v>
      </c>
      <c r="F59" s="373"/>
      <c r="G59" s="374">
        <f t="shared" si="0"/>
      </c>
      <c r="H59" s="375"/>
      <c r="I59" s="360" t="s">
        <v>23</v>
      </c>
      <c r="J59" s="360" t="s">
        <v>23</v>
      </c>
      <c r="K59" s="364">
        <v>1</v>
      </c>
      <c r="L59" s="357"/>
      <c r="M59" s="357">
        <f t="shared" si="1"/>
      </c>
      <c r="N59" s="348"/>
      <c r="O59" s="100">
        <f>IF(RPA!C53="No Criteria","No Criteria","")</f>
      </c>
    </row>
    <row r="60" spans="1:15" ht="14.25">
      <c r="A60" s="358">
        <v>49</v>
      </c>
      <c r="B60" s="359" t="s">
        <v>62</v>
      </c>
      <c r="C60" s="353" t="s">
        <v>23</v>
      </c>
      <c r="D60" s="364" t="s">
        <v>23</v>
      </c>
      <c r="E60" s="494">
        <v>2</v>
      </c>
      <c r="F60" s="194"/>
      <c r="G60" s="355">
        <f t="shared" si="0"/>
      </c>
      <c r="H60" s="348"/>
      <c r="I60" s="360" t="s">
        <v>23</v>
      </c>
      <c r="J60" s="360" t="s">
        <v>23</v>
      </c>
      <c r="K60" s="361">
        <v>2</v>
      </c>
      <c r="L60" s="357"/>
      <c r="M60" s="357">
        <f t="shared" si="1"/>
      </c>
      <c r="N60" s="348"/>
      <c r="O60" s="100">
        <f>IF(RPA!C54="No Criteria","No Criteria","")</f>
      </c>
    </row>
    <row r="61" spans="1:15" ht="14.25">
      <c r="A61" s="358">
        <v>50</v>
      </c>
      <c r="B61" s="359" t="s">
        <v>63</v>
      </c>
      <c r="C61" s="353" t="s">
        <v>23</v>
      </c>
      <c r="D61" s="364" t="s">
        <v>23</v>
      </c>
      <c r="E61" s="494">
        <v>1</v>
      </c>
      <c r="F61" s="194"/>
      <c r="G61" s="355">
        <f t="shared" si="0"/>
      </c>
      <c r="H61" s="348"/>
      <c r="I61" s="360" t="s">
        <v>23</v>
      </c>
      <c r="J61" s="360" t="s">
        <v>23</v>
      </c>
      <c r="K61" s="361">
        <v>1</v>
      </c>
      <c r="L61" s="357"/>
      <c r="M61" s="357">
        <f t="shared" si="1"/>
      </c>
      <c r="N61" s="348"/>
      <c r="O61" s="100" t="str">
        <f>IF(RPA!C55="No Criteria","No Criteria","")</f>
        <v>No Criteria</v>
      </c>
    </row>
    <row r="62" spans="1:15" ht="14.25">
      <c r="A62" s="358">
        <v>51</v>
      </c>
      <c r="B62" s="359" t="s">
        <v>64</v>
      </c>
      <c r="C62" s="353" t="s">
        <v>23</v>
      </c>
      <c r="D62" s="364" t="s">
        <v>23</v>
      </c>
      <c r="E62" s="494">
        <v>2</v>
      </c>
      <c r="F62" s="194"/>
      <c r="G62" s="355">
        <f t="shared" si="0"/>
      </c>
      <c r="H62" s="348"/>
      <c r="I62" s="360" t="s">
        <v>23</v>
      </c>
      <c r="J62" s="360" t="s">
        <v>23</v>
      </c>
      <c r="K62" s="361">
        <v>2</v>
      </c>
      <c r="L62" s="357"/>
      <c r="M62" s="357">
        <f t="shared" si="1"/>
      </c>
      <c r="N62" s="348"/>
      <c r="O62" s="100" t="str">
        <f>IF(RPA!C56="No Criteria","No Criteria","")</f>
        <v>No Criteria</v>
      </c>
    </row>
    <row r="63" spans="1:15" ht="14.25">
      <c r="A63" s="358">
        <v>52</v>
      </c>
      <c r="B63" s="359" t="s">
        <v>65</v>
      </c>
      <c r="C63" s="353" t="s">
        <v>23</v>
      </c>
      <c r="D63" s="364" t="s">
        <v>23</v>
      </c>
      <c r="E63" s="494">
        <v>0.5</v>
      </c>
      <c r="F63" s="194"/>
      <c r="G63" s="355">
        <f t="shared" si="0"/>
      </c>
      <c r="H63" s="348"/>
      <c r="I63" s="360" t="s">
        <v>23</v>
      </c>
      <c r="J63" s="360" t="s">
        <v>23</v>
      </c>
      <c r="K63" s="364">
        <v>0.5</v>
      </c>
      <c r="L63" s="357"/>
      <c r="M63" s="357">
        <f t="shared" si="1"/>
      </c>
      <c r="N63" s="348"/>
      <c r="O63" s="100" t="str">
        <f>IF(RPA!C57="No Criteria","No Criteria","")</f>
        <v>No Criteria</v>
      </c>
    </row>
    <row r="64" spans="1:15" ht="14.25">
      <c r="A64" s="358">
        <v>53</v>
      </c>
      <c r="B64" s="359" t="s">
        <v>66</v>
      </c>
      <c r="C64" s="353" t="s">
        <v>23</v>
      </c>
      <c r="D64" s="364" t="s">
        <v>23</v>
      </c>
      <c r="E64" s="494">
        <v>4.8</v>
      </c>
      <c r="F64" s="194"/>
      <c r="G64" s="355">
        <f t="shared" si="0"/>
      </c>
      <c r="H64" s="348"/>
      <c r="I64" s="360" t="s">
        <v>23</v>
      </c>
      <c r="J64" s="360" t="s">
        <v>23</v>
      </c>
      <c r="K64" s="361">
        <v>0.2</v>
      </c>
      <c r="L64" s="357"/>
      <c r="M64" s="357">
        <f t="shared" si="1"/>
      </c>
      <c r="N64" s="348"/>
      <c r="O64" s="100">
        <f>IF(RPA!C58="No Criteria","No Criteria","")</f>
      </c>
    </row>
    <row r="65" spans="1:15" ht="14.25">
      <c r="A65" s="358">
        <v>54</v>
      </c>
      <c r="B65" s="359" t="s">
        <v>67</v>
      </c>
      <c r="C65" s="353" t="s">
        <v>23</v>
      </c>
      <c r="D65" s="364" t="s">
        <v>23</v>
      </c>
      <c r="E65" s="494">
        <v>0.5</v>
      </c>
      <c r="F65" s="373"/>
      <c r="G65" s="374">
        <f t="shared" si="0"/>
      </c>
      <c r="H65" s="375"/>
      <c r="I65" s="360" t="s">
        <v>23</v>
      </c>
      <c r="J65" s="360" t="s">
        <v>23</v>
      </c>
      <c r="K65" s="361">
        <v>0.5</v>
      </c>
      <c r="L65" s="357"/>
      <c r="M65" s="357">
        <f t="shared" si="1"/>
      </c>
      <c r="N65" s="348"/>
      <c r="O65" s="100">
        <f>IF(RPA!C59="No Criteria","No Criteria","")</f>
      </c>
    </row>
    <row r="66" spans="1:15" ht="14.25">
      <c r="A66" s="358">
        <v>55</v>
      </c>
      <c r="B66" s="359" t="s">
        <v>68</v>
      </c>
      <c r="C66" s="353" t="s">
        <v>23</v>
      </c>
      <c r="D66" s="364" t="s">
        <v>23</v>
      </c>
      <c r="E66" s="494">
        <v>1</v>
      </c>
      <c r="F66" s="194"/>
      <c r="G66" s="355">
        <f t="shared" si="0"/>
      </c>
      <c r="H66" s="348"/>
      <c r="I66" s="360" t="s">
        <v>23</v>
      </c>
      <c r="J66" s="360" t="s">
        <v>23</v>
      </c>
      <c r="K66" s="361">
        <v>1</v>
      </c>
      <c r="L66" s="357"/>
      <c r="M66" s="357">
        <f t="shared" si="1"/>
      </c>
      <c r="N66" s="348"/>
      <c r="O66" s="100">
        <f>IF(RPA!C60="No Criteria","No Criteria","")</f>
      </c>
    </row>
    <row r="67" spans="1:15" ht="14.25">
      <c r="A67" s="358">
        <v>56</v>
      </c>
      <c r="B67" s="359" t="s">
        <v>69</v>
      </c>
      <c r="C67" s="353" t="s">
        <v>23</v>
      </c>
      <c r="D67" s="364" t="s">
        <v>23</v>
      </c>
      <c r="E67" s="494">
        <v>0.23</v>
      </c>
      <c r="F67" s="194"/>
      <c r="G67" s="355">
        <f t="shared" si="0"/>
      </c>
      <c r="H67" s="348"/>
      <c r="I67" s="360" t="s">
        <v>23</v>
      </c>
      <c r="J67" s="360" t="s">
        <v>23</v>
      </c>
      <c r="K67" s="361">
        <v>0.5</v>
      </c>
      <c r="L67" s="357"/>
      <c r="M67" s="357">
        <f t="shared" si="1"/>
      </c>
      <c r="N67" s="348"/>
      <c r="O67" s="100">
        <f>IF(RPA!C61="No Criteria","No Criteria","")</f>
      </c>
    </row>
    <row r="68" spans="1:15" ht="14.25">
      <c r="A68" s="358">
        <v>57</v>
      </c>
      <c r="B68" s="359" t="s">
        <v>70</v>
      </c>
      <c r="C68" s="353" t="s">
        <v>23</v>
      </c>
      <c r="D68" s="364" t="s">
        <v>23</v>
      </c>
      <c r="E68" s="494">
        <v>1.8</v>
      </c>
      <c r="F68" s="194"/>
      <c r="G68" s="355">
        <f t="shared" si="0"/>
      </c>
      <c r="H68" s="348"/>
      <c r="I68" s="360" t="s">
        <v>23</v>
      </c>
      <c r="J68" s="360" t="s">
        <v>23</v>
      </c>
      <c r="K68" s="361">
        <v>1</v>
      </c>
      <c r="L68" s="357"/>
      <c r="M68" s="357">
        <f t="shared" si="1"/>
      </c>
      <c r="N68" s="348"/>
      <c r="O68" s="100" t="str">
        <f>IF(RPA!C62="No Criteria","No Criteria","")</f>
        <v>No Criteria</v>
      </c>
    </row>
    <row r="69" spans="1:15" ht="14.25">
      <c r="A69" s="358">
        <v>58</v>
      </c>
      <c r="B69" s="359" t="s">
        <v>71</v>
      </c>
      <c r="C69" s="353" t="s">
        <v>23</v>
      </c>
      <c r="D69" s="364" t="s">
        <v>23</v>
      </c>
      <c r="E69" s="494">
        <v>1.8</v>
      </c>
      <c r="F69" s="194"/>
      <c r="G69" s="355">
        <f t="shared" si="0"/>
      </c>
      <c r="H69" s="348"/>
      <c r="I69" s="360" t="s">
        <v>23</v>
      </c>
      <c r="J69" s="360" t="s">
        <v>23</v>
      </c>
      <c r="K69" s="361">
        <v>0.05</v>
      </c>
      <c r="L69" s="357"/>
      <c r="M69" s="357">
        <f t="shared" si="1"/>
      </c>
      <c r="N69" s="348"/>
      <c r="O69" s="100">
        <f>IF(RPA!C63="No Criteria","No Criteria","")</f>
      </c>
    </row>
    <row r="70" spans="1:15" ht="14.25">
      <c r="A70" s="358">
        <v>59</v>
      </c>
      <c r="B70" s="359" t="s">
        <v>72</v>
      </c>
      <c r="C70" s="353" t="s">
        <v>23</v>
      </c>
      <c r="D70" s="364" t="s">
        <v>23</v>
      </c>
      <c r="E70" s="494">
        <v>1</v>
      </c>
      <c r="F70" s="194"/>
      <c r="G70" s="355">
        <f t="shared" si="0"/>
      </c>
      <c r="H70" s="348"/>
      <c r="I70" s="360" t="s">
        <v>23</v>
      </c>
      <c r="J70" s="360" t="s">
        <v>23</v>
      </c>
      <c r="K70" s="364">
        <v>1</v>
      </c>
      <c r="L70" s="357"/>
      <c r="M70" s="357">
        <f t="shared" si="1"/>
      </c>
      <c r="N70" s="348"/>
      <c r="O70" s="100">
        <f>IF(RPA!C64="No Criteria","No Criteria","")</f>
      </c>
    </row>
    <row r="71" spans="1:15" ht="14.25">
      <c r="A71" s="358">
        <v>60</v>
      </c>
      <c r="B71" s="359" t="s">
        <v>73</v>
      </c>
      <c r="C71" s="353" t="s">
        <v>23</v>
      </c>
      <c r="D71" s="364" t="s">
        <v>23</v>
      </c>
      <c r="E71" s="494">
        <v>3.3</v>
      </c>
      <c r="F71" s="194"/>
      <c r="G71" s="355">
        <f t="shared" si="0"/>
      </c>
      <c r="H71" s="348"/>
      <c r="I71" s="360" t="s">
        <v>23</v>
      </c>
      <c r="J71" s="360" t="s">
        <v>23</v>
      </c>
      <c r="K71" s="361">
        <v>0.05</v>
      </c>
      <c r="L71" s="357"/>
      <c r="M71" s="357">
        <f t="shared" si="1"/>
      </c>
      <c r="N71" s="348"/>
      <c r="O71" s="100">
        <f>IF(RPA!C65="No Criteria","No Criteria","")</f>
      </c>
    </row>
    <row r="72" spans="1:15" ht="14.25">
      <c r="A72" s="358">
        <v>61</v>
      </c>
      <c r="B72" s="359" t="s">
        <v>74</v>
      </c>
      <c r="C72" s="353" t="s">
        <v>23</v>
      </c>
      <c r="D72" s="364" t="s">
        <v>23</v>
      </c>
      <c r="E72" s="494">
        <v>1.8</v>
      </c>
      <c r="F72" s="194"/>
      <c r="G72" s="355">
        <f t="shared" si="0"/>
      </c>
      <c r="H72" s="348"/>
      <c r="I72" s="360" t="s">
        <v>23</v>
      </c>
      <c r="J72" s="360" t="s">
        <v>23</v>
      </c>
      <c r="K72" s="361">
        <v>0.05</v>
      </c>
      <c r="L72" s="357"/>
      <c r="M72" s="357">
        <f t="shared" si="1"/>
      </c>
      <c r="N72" s="348"/>
      <c r="O72" s="100">
        <f>IF(RPA!C66="No Criteria","No Criteria","")</f>
      </c>
    </row>
    <row r="73" spans="1:15" ht="14.25">
      <c r="A73" s="358">
        <v>62</v>
      </c>
      <c r="B73" s="359" t="s">
        <v>75</v>
      </c>
      <c r="C73" s="353" t="s">
        <v>23</v>
      </c>
      <c r="D73" s="364" t="s">
        <v>23</v>
      </c>
      <c r="E73" s="494">
        <v>2.9</v>
      </c>
      <c r="F73" s="194"/>
      <c r="G73" s="355">
        <f t="shared" si="0"/>
      </c>
      <c r="H73" s="348"/>
      <c r="I73" s="360" t="s">
        <v>23</v>
      </c>
      <c r="J73" s="360" t="s">
        <v>23</v>
      </c>
      <c r="K73" s="364">
        <v>0.05</v>
      </c>
      <c r="L73" s="357"/>
      <c r="M73" s="357">
        <f t="shared" si="1"/>
      </c>
      <c r="N73" s="348"/>
      <c r="O73" s="100">
        <f>IF(RPA!C67="No Criteria","No Criteria","")</f>
      </c>
    </row>
    <row r="74" spans="1:15" ht="14.25">
      <c r="A74" s="358">
        <v>63</v>
      </c>
      <c r="B74" s="359" t="s">
        <v>76</v>
      </c>
      <c r="C74" s="353" t="s">
        <v>23</v>
      </c>
      <c r="D74" s="364" t="s">
        <v>23</v>
      </c>
      <c r="E74" s="494">
        <v>1.8</v>
      </c>
      <c r="F74" s="194"/>
      <c r="G74" s="355">
        <f t="shared" si="0"/>
      </c>
      <c r="H74" s="348"/>
      <c r="I74" s="360" t="s">
        <v>23</v>
      </c>
      <c r="J74" s="360" t="s">
        <v>23</v>
      </c>
      <c r="K74" s="361">
        <v>0.1</v>
      </c>
      <c r="L74" s="357"/>
      <c r="M74" s="357">
        <f t="shared" si="1"/>
      </c>
      <c r="N74" s="348"/>
      <c r="O74" s="100" t="str">
        <f>IF(RPA!C68="No Criteria","No Criteria","")</f>
        <v>No Criteria</v>
      </c>
    </row>
    <row r="75" spans="1:15" ht="14.25">
      <c r="A75" s="358">
        <v>64</v>
      </c>
      <c r="B75" s="359" t="s">
        <v>77</v>
      </c>
      <c r="C75" s="353" t="s">
        <v>23</v>
      </c>
      <c r="D75" s="364" t="s">
        <v>23</v>
      </c>
      <c r="E75" s="494">
        <v>0.2</v>
      </c>
      <c r="F75" s="194"/>
      <c r="G75" s="355">
        <f t="shared" si="0"/>
      </c>
      <c r="H75" s="348"/>
      <c r="I75" s="360" t="s">
        <v>23</v>
      </c>
      <c r="J75" s="360" t="s">
        <v>23</v>
      </c>
      <c r="K75" s="361">
        <v>0.05</v>
      </c>
      <c r="L75" s="364"/>
      <c r="M75" s="357">
        <f t="shared" si="1"/>
      </c>
      <c r="N75" s="348"/>
      <c r="O75" s="100">
        <f>IF(RPA!C69="No Criteria","No Criteria","")</f>
      </c>
    </row>
    <row r="76" spans="1:15" ht="14.25">
      <c r="A76" s="358">
        <v>65</v>
      </c>
      <c r="B76" s="359" t="s">
        <v>78</v>
      </c>
      <c r="C76" s="353" t="s">
        <v>23</v>
      </c>
      <c r="D76" s="364" t="s">
        <v>23</v>
      </c>
      <c r="E76" s="494">
        <v>1</v>
      </c>
      <c r="F76" s="194"/>
      <c r="G76" s="355">
        <f aca="true" t="shared" si="2" ref="G76:G132">IF(C76="","Check input",IF(C76="Y",IF(D76="","Check input",IF(D76="Y",IF(E76="","Check input",IF(F76="","","Check input")),IF(E76="",IF(F76="","Check input",""),"Check input"))),IF(D76="",IF(E76="",IF(F76="","","Check input"),"Check input"),"Check input")))</f>
      </c>
      <c r="H76" s="348"/>
      <c r="I76" s="360" t="s">
        <v>23</v>
      </c>
      <c r="J76" s="360" t="s">
        <v>23</v>
      </c>
      <c r="K76" s="361">
        <v>1</v>
      </c>
      <c r="L76" s="377"/>
      <c r="M76" s="357">
        <f aca="true" t="shared" si="3" ref="M76:M133">IF(I76="","Check input",IF(I76="Y",IF(J76="","Check input",IF(J76="Y",IF(K76="","Check input",IF(L76="","","Check input")),IF(K76="",IF(L76="","Check input",""),"Check input"))),IF(J76="",IF(K76="",IF(L76="","","Check input"),"Check input"),"Check input")))</f>
      </c>
      <c r="N76" s="348"/>
      <c r="O76" s="100" t="str">
        <f>IF(RPA!C70="No Criteria","No Criteria","")</f>
        <v>No Criteria</v>
      </c>
    </row>
    <row r="77" spans="1:15" ht="14.25">
      <c r="A77" s="358">
        <v>66</v>
      </c>
      <c r="B77" s="359" t="s">
        <v>79</v>
      </c>
      <c r="C77" s="353" t="s">
        <v>23</v>
      </c>
      <c r="D77" s="364" t="s">
        <v>23</v>
      </c>
      <c r="E77" s="494">
        <v>0.5</v>
      </c>
      <c r="F77" s="194"/>
      <c r="G77" s="355">
        <f t="shared" si="2"/>
      </c>
      <c r="H77" s="348"/>
      <c r="I77" s="360" t="s">
        <v>23</v>
      </c>
      <c r="J77" s="360" t="s">
        <v>23</v>
      </c>
      <c r="K77" s="361">
        <v>0.5</v>
      </c>
      <c r="L77" s="377"/>
      <c r="M77" s="357">
        <f t="shared" si="3"/>
      </c>
      <c r="N77" s="348"/>
      <c r="O77" s="100">
        <f>IF(RPA!C71="No Criteria","No Criteria","")</f>
      </c>
    </row>
    <row r="78" spans="1:15" ht="14.25">
      <c r="A78" s="358">
        <v>67</v>
      </c>
      <c r="B78" s="359" t="s">
        <v>80</v>
      </c>
      <c r="C78" s="353" t="s">
        <v>23</v>
      </c>
      <c r="D78" s="364" t="s">
        <v>23</v>
      </c>
      <c r="E78" s="494">
        <v>0.5</v>
      </c>
      <c r="F78" s="194"/>
      <c r="G78" s="355">
        <f t="shared" si="2"/>
      </c>
      <c r="H78" s="348"/>
      <c r="I78" s="360" t="s">
        <v>23</v>
      </c>
      <c r="J78" s="360" t="s">
        <v>23</v>
      </c>
      <c r="K78" s="361">
        <v>0.5</v>
      </c>
      <c r="L78" s="377"/>
      <c r="M78" s="357">
        <f t="shared" si="3"/>
      </c>
      <c r="N78" s="348"/>
      <c r="O78" s="100">
        <f>IF(RPA!C72="No Criteria","No Criteria","")</f>
      </c>
    </row>
    <row r="79" spans="1:15" ht="14.25">
      <c r="A79" s="358">
        <v>68</v>
      </c>
      <c r="B79" s="359" t="s">
        <v>81</v>
      </c>
      <c r="C79" s="353" t="s">
        <v>23</v>
      </c>
      <c r="D79" s="364" t="s">
        <v>23</v>
      </c>
      <c r="E79" s="494">
        <v>2</v>
      </c>
      <c r="F79" s="373"/>
      <c r="G79" s="374">
        <f t="shared" si="2"/>
      </c>
      <c r="H79" s="375"/>
      <c r="I79" s="360" t="s">
        <v>23</v>
      </c>
      <c r="J79" s="360" t="s">
        <v>24</v>
      </c>
      <c r="K79" s="361"/>
      <c r="L79" s="378">
        <v>3</v>
      </c>
      <c r="M79" s="357">
        <f t="shared" si="3"/>
      </c>
      <c r="N79" s="348"/>
      <c r="O79" s="100">
        <f>IF(RPA!C73="No Criteria","No Criteria","")</f>
      </c>
    </row>
    <row r="80" spans="1:15" ht="14.25">
      <c r="A80" s="358">
        <v>69</v>
      </c>
      <c r="B80" s="359" t="s">
        <v>82</v>
      </c>
      <c r="C80" s="353" t="s">
        <v>23</v>
      </c>
      <c r="D80" s="364" t="s">
        <v>23</v>
      </c>
      <c r="E80" s="494">
        <v>1</v>
      </c>
      <c r="F80" s="194"/>
      <c r="G80" s="355">
        <f t="shared" si="2"/>
      </c>
      <c r="H80" s="348"/>
      <c r="I80" s="360" t="s">
        <v>23</v>
      </c>
      <c r="J80" s="360" t="s">
        <v>23</v>
      </c>
      <c r="K80" s="361">
        <v>1</v>
      </c>
      <c r="L80" s="377"/>
      <c r="M80" s="357">
        <f t="shared" si="3"/>
      </c>
      <c r="N80" s="348"/>
      <c r="O80" s="100" t="str">
        <f>IF(RPA!C74="No Criteria","No Criteria","")</f>
        <v>No Criteria</v>
      </c>
    </row>
    <row r="81" spans="1:15" ht="14.25">
      <c r="A81" s="358">
        <v>70</v>
      </c>
      <c r="B81" s="359" t="s">
        <v>83</v>
      </c>
      <c r="C81" s="353" t="s">
        <v>23</v>
      </c>
      <c r="D81" s="364" t="s">
        <v>23</v>
      </c>
      <c r="E81" s="494">
        <v>1</v>
      </c>
      <c r="F81" s="373"/>
      <c r="G81" s="374">
        <f t="shared" si="2"/>
      </c>
      <c r="H81" s="375"/>
      <c r="I81" s="360" t="s">
        <v>23</v>
      </c>
      <c r="J81" s="360" t="s">
        <v>23</v>
      </c>
      <c r="K81" s="361">
        <v>1</v>
      </c>
      <c r="L81" s="377"/>
      <c r="M81" s="357">
        <f t="shared" si="3"/>
      </c>
      <c r="N81" s="348"/>
      <c r="O81" s="100">
        <f>IF(RPA!C75="No Criteria","No Criteria","")</f>
      </c>
    </row>
    <row r="82" spans="1:15" ht="14.25">
      <c r="A82" s="358">
        <v>71</v>
      </c>
      <c r="B82" s="359" t="s">
        <v>84</v>
      </c>
      <c r="C82" s="353" t="s">
        <v>23</v>
      </c>
      <c r="D82" s="364" t="s">
        <v>23</v>
      </c>
      <c r="E82" s="494">
        <v>1</v>
      </c>
      <c r="F82" s="194"/>
      <c r="G82" s="355">
        <f t="shared" si="2"/>
      </c>
      <c r="H82" s="348"/>
      <c r="I82" s="360" t="s">
        <v>23</v>
      </c>
      <c r="J82" s="360" t="s">
        <v>23</v>
      </c>
      <c r="K82" s="361">
        <v>1</v>
      </c>
      <c r="L82" s="377"/>
      <c r="M82" s="357">
        <f t="shared" si="3"/>
      </c>
      <c r="N82" s="348"/>
      <c r="O82" s="100">
        <f>IF(RPA!C76="No Criteria","No Criteria","")</f>
      </c>
    </row>
    <row r="83" spans="1:15" ht="14.25">
      <c r="A83" s="358">
        <v>72</v>
      </c>
      <c r="B83" s="359" t="s">
        <v>85</v>
      </c>
      <c r="C83" s="353" t="s">
        <v>23</v>
      </c>
      <c r="D83" s="364" t="s">
        <v>23</v>
      </c>
      <c r="E83" s="494">
        <v>1</v>
      </c>
      <c r="F83" s="194"/>
      <c r="G83" s="355">
        <f t="shared" si="2"/>
      </c>
      <c r="H83" s="348"/>
      <c r="I83" s="360" t="s">
        <v>23</v>
      </c>
      <c r="J83" s="360" t="s">
        <v>23</v>
      </c>
      <c r="K83" s="361">
        <v>1</v>
      </c>
      <c r="L83" s="377"/>
      <c r="M83" s="357">
        <f t="shared" si="3"/>
      </c>
      <c r="N83" s="348"/>
      <c r="O83" s="100" t="str">
        <f>IF(RPA!C77="No Criteria","No Criteria","")</f>
        <v>No Criteria</v>
      </c>
    </row>
    <row r="84" spans="1:15" ht="14.25">
      <c r="A84" s="358">
        <v>73</v>
      </c>
      <c r="B84" s="359" t="s">
        <v>86</v>
      </c>
      <c r="C84" s="353" t="s">
        <v>23</v>
      </c>
      <c r="D84" s="364" t="s">
        <v>23</v>
      </c>
      <c r="E84" s="494">
        <v>3.3</v>
      </c>
      <c r="F84" s="194"/>
      <c r="G84" s="355">
        <f t="shared" si="2"/>
      </c>
      <c r="H84" s="348"/>
      <c r="I84" s="360" t="s">
        <v>23</v>
      </c>
      <c r="J84" s="360" t="s">
        <v>23</v>
      </c>
      <c r="K84" s="361">
        <v>0.05</v>
      </c>
      <c r="L84" s="364"/>
      <c r="M84" s="357">
        <f t="shared" si="3"/>
      </c>
      <c r="N84" s="348"/>
      <c r="O84" s="100">
        <f>IF(RPA!C78="No Criteria","No Criteria","")</f>
      </c>
    </row>
    <row r="85" spans="1:15" ht="14.25">
      <c r="A85" s="358">
        <v>74</v>
      </c>
      <c r="B85" s="359" t="s">
        <v>87</v>
      </c>
      <c r="C85" s="353" t="s">
        <v>23</v>
      </c>
      <c r="D85" s="364" t="s">
        <v>23</v>
      </c>
      <c r="E85" s="494">
        <v>0.59</v>
      </c>
      <c r="F85" s="194"/>
      <c r="G85" s="355">
        <f t="shared" si="2"/>
      </c>
      <c r="H85" s="348"/>
      <c r="I85" s="360" t="s">
        <v>23</v>
      </c>
      <c r="J85" s="360" t="s">
        <v>23</v>
      </c>
      <c r="K85" s="361">
        <v>0.1</v>
      </c>
      <c r="L85" s="364"/>
      <c r="M85" s="357">
        <f t="shared" si="3"/>
      </c>
      <c r="N85" s="348"/>
      <c r="O85" s="100">
        <f>IF(RPA!C79="No Criteria","No Criteria","")</f>
      </c>
    </row>
    <row r="86" spans="1:15" ht="14.25">
      <c r="A86" s="358">
        <v>75</v>
      </c>
      <c r="B86" s="359" t="s">
        <v>88</v>
      </c>
      <c r="C86" s="353" t="s">
        <v>23</v>
      </c>
      <c r="D86" s="364" t="s">
        <v>23</v>
      </c>
      <c r="E86" s="494">
        <v>0.21</v>
      </c>
      <c r="F86" s="194"/>
      <c r="G86" s="355">
        <f t="shared" si="2"/>
      </c>
      <c r="H86" s="348"/>
      <c r="I86" s="360" t="s">
        <v>23</v>
      </c>
      <c r="J86" s="360" t="s">
        <v>23</v>
      </c>
      <c r="K86" s="361">
        <v>0.21</v>
      </c>
      <c r="L86" s="377"/>
      <c r="M86" s="357">
        <f t="shared" si="3"/>
      </c>
      <c r="N86" s="348"/>
      <c r="O86" s="100">
        <f>IF(RPA!C80="No Criteria","No Criteria","")</f>
      </c>
    </row>
    <row r="87" spans="1:15" ht="14.25">
      <c r="A87" s="358">
        <v>76</v>
      </c>
      <c r="B87" s="359" t="s">
        <v>89</v>
      </c>
      <c r="C87" s="353" t="s">
        <v>23</v>
      </c>
      <c r="D87" s="364" t="s">
        <v>23</v>
      </c>
      <c r="E87" s="494">
        <v>0.27</v>
      </c>
      <c r="F87" s="194"/>
      <c r="G87" s="355">
        <f t="shared" si="2"/>
      </c>
      <c r="H87" s="348"/>
      <c r="I87" s="360" t="s">
        <v>23</v>
      </c>
      <c r="J87" s="360" t="s">
        <v>23</v>
      </c>
      <c r="K87" s="361">
        <v>0.27</v>
      </c>
      <c r="L87" s="377"/>
      <c r="M87" s="357">
        <f t="shared" si="3"/>
      </c>
      <c r="N87" s="348"/>
      <c r="O87" s="100">
        <f>IF(RPA!C81="No Criteria","No Criteria","")</f>
      </c>
    </row>
    <row r="88" spans="1:15" ht="14.25">
      <c r="A88" s="358">
        <v>77</v>
      </c>
      <c r="B88" s="359" t="s">
        <v>90</v>
      </c>
      <c r="C88" s="353" t="s">
        <v>23</v>
      </c>
      <c r="D88" s="364" t="s">
        <v>23</v>
      </c>
      <c r="E88" s="494">
        <v>0.2</v>
      </c>
      <c r="F88" s="194"/>
      <c r="G88" s="355">
        <f t="shared" si="2"/>
      </c>
      <c r="H88" s="348"/>
      <c r="I88" s="360" t="s">
        <v>23</v>
      </c>
      <c r="J88" s="360" t="s">
        <v>23</v>
      </c>
      <c r="K88" s="361">
        <v>0.2</v>
      </c>
      <c r="L88" s="377"/>
      <c r="M88" s="357">
        <f t="shared" si="3"/>
      </c>
      <c r="N88" s="348"/>
      <c r="O88" s="100">
        <f>IF(RPA!C82="No Criteria","No Criteria","")</f>
      </c>
    </row>
    <row r="89" spans="1:15" ht="14.25">
      <c r="A89" s="358">
        <v>78</v>
      </c>
      <c r="B89" s="359" t="s">
        <v>295</v>
      </c>
      <c r="C89" s="353" t="s">
        <v>23</v>
      </c>
      <c r="D89" s="364" t="s">
        <v>23</v>
      </c>
      <c r="E89" s="494">
        <v>1</v>
      </c>
      <c r="F89" s="373"/>
      <c r="G89" s="374">
        <f t="shared" si="2"/>
      </c>
      <c r="H89" s="375"/>
      <c r="I89" s="360" t="s">
        <v>23</v>
      </c>
      <c r="J89" s="360" t="s">
        <v>23</v>
      </c>
      <c r="K89" s="361">
        <v>1</v>
      </c>
      <c r="L89" s="377"/>
      <c r="M89" s="357">
        <f t="shared" si="3"/>
      </c>
      <c r="N89" s="348"/>
      <c r="O89" s="100">
        <f>IF(RPA!C83="No Criteria","No Criteria","")</f>
      </c>
    </row>
    <row r="90" spans="1:15" ht="14.25">
      <c r="A90" s="358">
        <v>79</v>
      </c>
      <c r="B90" s="359" t="s">
        <v>92</v>
      </c>
      <c r="C90" s="353" t="s">
        <v>23</v>
      </c>
      <c r="D90" s="364" t="s">
        <v>23</v>
      </c>
      <c r="E90" s="494">
        <v>1</v>
      </c>
      <c r="F90" s="373"/>
      <c r="G90" s="374">
        <f t="shared" si="2"/>
      </c>
      <c r="H90" s="375"/>
      <c r="I90" s="360" t="s">
        <v>23</v>
      </c>
      <c r="J90" s="360" t="s">
        <v>23</v>
      </c>
      <c r="K90" s="361">
        <v>1</v>
      </c>
      <c r="L90" s="377"/>
      <c r="M90" s="357">
        <f t="shared" si="3"/>
      </c>
      <c r="N90" s="348"/>
      <c r="O90" s="100">
        <f>IF(RPA!C84="No Criteria","No Criteria","")</f>
      </c>
    </row>
    <row r="91" spans="1:15" ht="14.25">
      <c r="A91" s="358">
        <v>80</v>
      </c>
      <c r="B91" s="359" t="s">
        <v>93</v>
      </c>
      <c r="C91" s="353" t="s">
        <v>23</v>
      </c>
      <c r="D91" s="364" t="s">
        <v>23</v>
      </c>
      <c r="E91" s="494">
        <v>1</v>
      </c>
      <c r="F91" s="194"/>
      <c r="G91" s="355">
        <f t="shared" si="2"/>
      </c>
      <c r="H91" s="348"/>
      <c r="I91" s="360" t="s">
        <v>23</v>
      </c>
      <c r="J91" s="360" t="s">
        <v>23</v>
      </c>
      <c r="K91" s="361">
        <v>1</v>
      </c>
      <c r="L91" s="377"/>
      <c r="M91" s="357">
        <f t="shared" si="3"/>
      </c>
      <c r="N91" s="348"/>
      <c r="O91" s="100">
        <f>IF(RPA!C85="No Criteria","No Criteria","")</f>
      </c>
    </row>
    <row r="92" spans="1:15" ht="14.25">
      <c r="A92" s="358">
        <v>81</v>
      </c>
      <c r="B92" s="359" t="s">
        <v>94</v>
      </c>
      <c r="C92" s="353" t="s">
        <v>23</v>
      </c>
      <c r="D92" s="364" t="s">
        <v>23</v>
      </c>
      <c r="E92" s="494">
        <v>1</v>
      </c>
      <c r="F92" s="373"/>
      <c r="G92" s="374">
        <f t="shared" si="2"/>
      </c>
      <c r="H92" s="375"/>
      <c r="I92" s="360" t="s">
        <v>23</v>
      </c>
      <c r="J92" s="360" t="s">
        <v>23</v>
      </c>
      <c r="K92" s="361">
        <v>1</v>
      </c>
      <c r="L92" s="377"/>
      <c r="M92" s="357">
        <f t="shared" si="3"/>
      </c>
      <c r="N92" s="348"/>
      <c r="O92" s="100">
        <f>IF(RPA!C86="No Criteria","No Criteria","")</f>
      </c>
    </row>
    <row r="93" spans="1:15" ht="14.25">
      <c r="A93" s="358">
        <v>82</v>
      </c>
      <c r="B93" s="359" t="s">
        <v>95</v>
      </c>
      <c r="C93" s="353" t="s">
        <v>23</v>
      </c>
      <c r="D93" s="364" t="s">
        <v>23</v>
      </c>
      <c r="E93" s="494">
        <v>1</v>
      </c>
      <c r="F93" s="194"/>
      <c r="G93" s="355">
        <f t="shared" si="2"/>
      </c>
      <c r="H93" s="348"/>
      <c r="I93" s="360" t="s">
        <v>23</v>
      </c>
      <c r="J93" s="360" t="s">
        <v>23</v>
      </c>
      <c r="K93" s="361">
        <v>1</v>
      </c>
      <c r="L93" s="377"/>
      <c r="M93" s="357">
        <f t="shared" si="3"/>
      </c>
      <c r="N93" s="348"/>
      <c r="O93" s="100">
        <f>IF(RPA!C87="No Criteria","No Criteria","")</f>
      </c>
    </row>
    <row r="94" spans="1:15" ht="14.25">
      <c r="A94" s="358">
        <v>83</v>
      </c>
      <c r="B94" s="359" t="s">
        <v>96</v>
      </c>
      <c r="C94" s="353" t="s">
        <v>23</v>
      </c>
      <c r="D94" s="364" t="s">
        <v>23</v>
      </c>
      <c r="E94" s="494">
        <v>1</v>
      </c>
      <c r="F94" s="194"/>
      <c r="G94" s="355">
        <f t="shared" si="2"/>
      </c>
      <c r="H94" s="348"/>
      <c r="I94" s="360" t="s">
        <v>23</v>
      </c>
      <c r="J94" s="360" t="s">
        <v>23</v>
      </c>
      <c r="K94" s="361">
        <v>1</v>
      </c>
      <c r="L94" s="377"/>
      <c r="M94" s="357">
        <f t="shared" si="3"/>
      </c>
      <c r="N94" s="348"/>
      <c r="O94" s="100" t="str">
        <f>IF(RPA!C88="No Criteria","No Criteria","")</f>
        <v>No Criteria</v>
      </c>
    </row>
    <row r="95" spans="1:15" ht="14.25">
      <c r="A95" s="358">
        <v>84</v>
      </c>
      <c r="B95" s="359" t="s">
        <v>97</v>
      </c>
      <c r="C95" s="353" t="s">
        <v>23</v>
      </c>
      <c r="D95" s="364" t="s">
        <v>23</v>
      </c>
      <c r="E95" s="494">
        <v>1</v>
      </c>
      <c r="F95" s="373"/>
      <c r="G95" s="374">
        <f t="shared" si="2"/>
      </c>
      <c r="H95" s="375"/>
      <c r="I95" s="360" t="s">
        <v>23</v>
      </c>
      <c r="J95" s="360" t="s">
        <v>23</v>
      </c>
      <c r="K95" s="361">
        <v>1</v>
      </c>
      <c r="L95" s="377"/>
      <c r="M95" s="357">
        <f t="shared" si="3"/>
      </c>
      <c r="N95" s="348"/>
      <c r="O95" s="100" t="str">
        <f>IF(RPA!C89="No Criteria","No Criteria","")</f>
        <v>No Criteria</v>
      </c>
    </row>
    <row r="96" spans="1:15" ht="14.25">
      <c r="A96" s="358">
        <v>85</v>
      </c>
      <c r="B96" s="359" t="s">
        <v>98</v>
      </c>
      <c r="C96" s="353" t="s">
        <v>23</v>
      </c>
      <c r="D96" s="364" t="s">
        <v>23</v>
      </c>
      <c r="E96" s="494">
        <v>0.5</v>
      </c>
      <c r="F96" s="373"/>
      <c r="G96" s="374">
        <f t="shared" si="2"/>
      </c>
      <c r="H96" s="375"/>
      <c r="I96" s="360" t="s">
        <v>23</v>
      </c>
      <c r="J96" s="360" t="s">
        <v>23</v>
      </c>
      <c r="K96" s="364">
        <v>0.5</v>
      </c>
      <c r="L96" s="377"/>
      <c r="M96" s="357">
        <f t="shared" si="3"/>
      </c>
      <c r="N96" s="348"/>
      <c r="O96" s="100">
        <f>IF(RPA!C90="No Criteria","No Criteria","")</f>
      </c>
    </row>
    <row r="97" spans="1:15" ht="14.25">
      <c r="A97" s="358">
        <v>86</v>
      </c>
      <c r="B97" s="359" t="s">
        <v>99</v>
      </c>
      <c r="C97" s="353" t="s">
        <v>23</v>
      </c>
      <c r="D97" s="364" t="s">
        <v>23</v>
      </c>
      <c r="E97" s="494">
        <v>2.5</v>
      </c>
      <c r="F97" s="194"/>
      <c r="G97" s="355">
        <f t="shared" si="2"/>
      </c>
      <c r="H97" s="348"/>
      <c r="I97" s="360" t="s">
        <v>23</v>
      </c>
      <c r="J97" s="360" t="s">
        <v>23</v>
      </c>
      <c r="K97" s="361">
        <v>0.05</v>
      </c>
      <c r="L97" s="364"/>
      <c r="M97" s="357">
        <f t="shared" si="3"/>
      </c>
      <c r="N97" s="348"/>
      <c r="O97" s="100">
        <f>IF(RPA!C91="No Criteria","No Criteria","")</f>
      </c>
    </row>
    <row r="98" spans="1:15" ht="14.25">
      <c r="A98" s="358">
        <v>87</v>
      </c>
      <c r="B98" s="359" t="s">
        <v>100</v>
      </c>
      <c r="C98" s="353" t="s">
        <v>23</v>
      </c>
      <c r="D98" s="364" t="s">
        <v>23</v>
      </c>
      <c r="E98" s="494">
        <v>2.6</v>
      </c>
      <c r="F98" s="194"/>
      <c r="G98" s="355">
        <f t="shared" si="2"/>
      </c>
      <c r="H98" s="348"/>
      <c r="I98" s="360" t="s">
        <v>23</v>
      </c>
      <c r="J98" s="360" t="s">
        <v>23</v>
      </c>
      <c r="K98" s="361">
        <v>0.05</v>
      </c>
      <c r="L98" s="364"/>
      <c r="M98" s="357">
        <f t="shared" si="3"/>
      </c>
      <c r="N98" s="348"/>
      <c r="O98" s="100">
        <f>IF(RPA!C92="No Criteria","No Criteria","")</f>
      </c>
    </row>
    <row r="99" spans="1:15" ht="14.25">
      <c r="A99" s="358">
        <v>88</v>
      </c>
      <c r="B99" s="359" t="s">
        <v>101</v>
      </c>
      <c r="C99" s="353" t="s">
        <v>23</v>
      </c>
      <c r="D99" s="364" t="s">
        <v>23</v>
      </c>
      <c r="E99" s="494">
        <v>0.5</v>
      </c>
      <c r="F99" s="194"/>
      <c r="G99" s="355">
        <f t="shared" si="2"/>
      </c>
      <c r="H99" s="348"/>
      <c r="I99" s="360" t="s">
        <v>23</v>
      </c>
      <c r="J99" s="360" t="s">
        <v>23</v>
      </c>
      <c r="K99" s="361">
        <v>0.5</v>
      </c>
      <c r="L99" s="364"/>
      <c r="M99" s="357">
        <f t="shared" si="3"/>
      </c>
      <c r="N99" s="348"/>
      <c r="O99" s="100">
        <f>IF(RPA!C93="No Criteria","No Criteria","")</f>
      </c>
    </row>
    <row r="100" spans="1:15" ht="14.25">
      <c r="A100" s="358">
        <v>89</v>
      </c>
      <c r="B100" s="359" t="s">
        <v>102</v>
      </c>
      <c r="C100" s="353" t="s">
        <v>23</v>
      </c>
      <c r="D100" s="364" t="s">
        <v>23</v>
      </c>
      <c r="E100" s="494">
        <v>0.23</v>
      </c>
      <c r="F100" s="194"/>
      <c r="G100" s="355">
        <f t="shared" si="2"/>
      </c>
      <c r="H100" s="348"/>
      <c r="I100" s="360" t="s">
        <v>23</v>
      </c>
      <c r="J100" s="360" t="s">
        <v>23</v>
      </c>
      <c r="K100" s="361">
        <v>0.23</v>
      </c>
      <c r="L100" s="377"/>
      <c r="M100" s="357">
        <f t="shared" si="3"/>
      </c>
      <c r="N100" s="348"/>
      <c r="O100" s="100">
        <f>IF(RPA!C94="No Criteria","No Criteria","")</f>
      </c>
    </row>
    <row r="101" spans="1:15" ht="14.25">
      <c r="A101" s="358">
        <v>90</v>
      </c>
      <c r="B101" s="359" t="s">
        <v>103</v>
      </c>
      <c r="C101" s="353" t="s">
        <v>23</v>
      </c>
      <c r="D101" s="364" t="s">
        <v>23</v>
      </c>
      <c r="E101" s="494">
        <v>1</v>
      </c>
      <c r="F101" s="194"/>
      <c r="G101" s="355">
        <f t="shared" si="2"/>
      </c>
      <c r="H101" s="348"/>
      <c r="I101" s="360" t="s">
        <v>23</v>
      </c>
      <c r="J101" s="360" t="s">
        <v>23</v>
      </c>
      <c r="K101" s="361">
        <v>1</v>
      </c>
      <c r="L101" s="377"/>
      <c r="M101" s="357">
        <f t="shared" si="3"/>
      </c>
      <c r="N101" s="348"/>
      <c r="O101" s="100">
        <f>IF(RPA!C95="No Criteria","No Criteria","")</f>
      </c>
    </row>
    <row r="102" spans="1:15" ht="14.25">
      <c r="A102" s="358">
        <v>91</v>
      </c>
      <c r="B102" s="359" t="s">
        <v>104</v>
      </c>
      <c r="C102" s="353" t="s">
        <v>23</v>
      </c>
      <c r="D102" s="364" t="s">
        <v>23</v>
      </c>
      <c r="E102" s="494">
        <v>0.5</v>
      </c>
      <c r="F102" s="194"/>
      <c r="G102" s="355">
        <f t="shared" si="2"/>
      </c>
      <c r="H102" s="348"/>
      <c r="I102" s="360" t="s">
        <v>23</v>
      </c>
      <c r="J102" s="360" t="s">
        <v>23</v>
      </c>
      <c r="K102" s="361">
        <v>0.5</v>
      </c>
      <c r="L102" s="377"/>
      <c r="M102" s="357">
        <f t="shared" si="3"/>
      </c>
      <c r="N102" s="348"/>
      <c r="O102" s="100">
        <f>IF(RPA!C96="No Criteria","No Criteria","")</f>
      </c>
    </row>
    <row r="103" spans="1:15" ht="14.25">
      <c r="A103" s="358">
        <v>92</v>
      </c>
      <c r="B103" s="359" t="s">
        <v>105</v>
      </c>
      <c r="C103" s="353" t="s">
        <v>23</v>
      </c>
      <c r="D103" s="364" t="s">
        <v>23</v>
      </c>
      <c r="E103" s="494">
        <v>4.4</v>
      </c>
      <c r="F103" s="194"/>
      <c r="G103" s="355">
        <f t="shared" si="2"/>
      </c>
      <c r="H103" s="348"/>
      <c r="I103" s="360" t="s">
        <v>23</v>
      </c>
      <c r="J103" s="360" t="s">
        <v>23</v>
      </c>
      <c r="K103" s="361">
        <v>0.5</v>
      </c>
      <c r="L103" s="364"/>
      <c r="M103" s="357">
        <f t="shared" si="3"/>
      </c>
      <c r="N103" s="348"/>
      <c r="O103" s="100">
        <f>IF(RPA!C97="No Criteria","No Criteria","")</f>
      </c>
    </row>
    <row r="104" spans="1:15" ht="14.25">
      <c r="A104" s="358">
        <v>93</v>
      </c>
      <c r="B104" s="359" t="s">
        <v>106</v>
      </c>
      <c r="C104" s="353" t="s">
        <v>23</v>
      </c>
      <c r="D104" s="364" t="s">
        <v>23</v>
      </c>
      <c r="E104" s="494">
        <v>0.5</v>
      </c>
      <c r="F104" s="194"/>
      <c r="G104" s="355">
        <f t="shared" si="2"/>
      </c>
      <c r="H104" s="348"/>
      <c r="I104" s="360" t="s">
        <v>23</v>
      </c>
      <c r="J104" s="360" t="s">
        <v>23</v>
      </c>
      <c r="K104" s="361">
        <v>0.5</v>
      </c>
      <c r="L104" s="377"/>
      <c r="M104" s="357">
        <f t="shared" si="3"/>
      </c>
      <c r="N104" s="348"/>
      <c r="O104" s="100">
        <f>IF(RPA!C98="No Criteria","No Criteria","")</f>
      </c>
    </row>
    <row r="105" spans="1:15" ht="14.25">
      <c r="A105" s="358">
        <v>94</v>
      </c>
      <c r="B105" s="359" t="s">
        <v>107</v>
      </c>
      <c r="C105" s="353" t="s">
        <v>23</v>
      </c>
      <c r="D105" s="364" t="s">
        <v>23</v>
      </c>
      <c r="E105" s="494">
        <v>0.74</v>
      </c>
      <c r="F105" s="194"/>
      <c r="G105" s="355">
        <f t="shared" si="2"/>
      </c>
      <c r="H105" s="348"/>
      <c r="I105" s="360" t="s">
        <v>23</v>
      </c>
      <c r="J105" s="360" t="s">
        <v>23</v>
      </c>
      <c r="K105" s="361">
        <v>0.74</v>
      </c>
      <c r="L105" s="364"/>
      <c r="M105" s="357">
        <f t="shared" si="3"/>
      </c>
      <c r="N105" s="348"/>
      <c r="O105" s="100" t="str">
        <f>IF(RPA!C99="No Criteria","No Criteria","")</f>
        <v>No Criteria</v>
      </c>
    </row>
    <row r="106" spans="1:15" ht="14.25">
      <c r="A106" s="358">
        <v>95</v>
      </c>
      <c r="B106" s="359" t="s">
        <v>108</v>
      </c>
      <c r="C106" s="353" t="s">
        <v>23</v>
      </c>
      <c r="D106" s="364" t="s">
        <v>23</v>
      </c>
      <c r="E106" s="494">
        <v>0.5</v>
      </c>
      <c r="F106" s="194"/>
      <c r="G106" s="355">
        <f t="shared" si="2"/>
      </c>
      <c r="H106" s="348"/>
      <c r="I106" s="360" t="s">
        <v>23</v>
      </c>
      <c r="J106" s="360" t="s">
        <v>23</v>
      </c>
      <c r="K106" s="361">
        <v>0.5</v>
      </c>
      <c r="L106" s="377"/>
      <c r="M106" s="357">
        <f t="shared" si="3"/>
      </c>
      <c r="N106" s="348"/>
      <c r="O106" s="100">
        <f>IF(RPA!C100="No Criteria","No Criteria","")</f>
      </c>
    </row>
    <row r="107" spans="1:15" ht="14.25">
      <c r="A107" s="358">
        <v>96</v>
      </c>
      <c r="B107" s="359" t="s">
        <v>109</v>
      </c>
      <c r="C107" s="353" t="s">
        <v>23</v>
      </c>
      <c r="D107" s="364" t="s">
        <v>23</v>
      </c>
      <c r="E107" s="494">
        <v>0.5</v>
      </c>
      <c r="F107" s="194"/>
      <c r="G107" s="355">
        <f t="shared" si="2"/>
      </c>
      <c r="H107" s="348"/>
      <c r="I107" s="360" t="s">
        <v>23</v>
      </c>
      <c r="J107" s="360" t="s">
        <v>23</v>
      </c>
      <c r="K107" s="364">
        <v>0.5</v>
      </c>
      <c r="L107" s="377"/>
      <c r="M107" s="357">
        <f t="shared" si="3"/>
      </c>
      <c r="N107" s="348"/>
      <c r="O107" s="100">
        <f>IF(RPA!C101="No Criteria","No Criteria","")</f>
      </c>
    </row>
    <row r="108" spans="1:15" ht="14.25">
      <c r="A108" s="358">
        <v>97</v>
      </c>
      <c r="B108" s="359" t="s">
        <v>110</v>
      </c>
      <c r="C108" s="353" t="s">
        <v>23</v>
      </c>
      <c r="D108" s="364" t="s">
        <v>23</v>
      </c>
      <c r="E108" s="494">
        <v>1</v>
      </c>
      <c r="F108" s="194"/>
      <c r="G108" s="355">
        <f t="shared" si="2"/>
      </c>
      <c r="H108" s="348"/>
      <c r="I108" s="360" t="s">
        <v>23</v>
      </c>
      <c r="J108" s="360" t="s">
        <v>23</v>
      </c>
      <c r="K108" s="361">
        <v>1</v>
      </c>
      <c r="L108" s="377"/>
      <c r="M108" s="357">
        <f t="shared" si="3"/>
      </c>
      <c r="N108" s="348"/>
      <c r="O108" s="100">
        <f>IF(RPA!C102="No Criteria","No Criteria","")</f>
      </c>
    </row>
    <row r="109" spans="1:15" ht="14.25">
      <c r="A109" s="358">
        <v>98</v>
      </c>
      <c r="B109" s="359" t="s">
        <v>111</v>
      </c>
      <c r="C109" s="353" t="s">
        <v>23</v>
      </c>
      <c r="D109" s="364" t="s">
        <v>23</v>
      </c>
      <c r="E109" s="494">
        <v>0.5</v>
      </c>
      <c r="F109" s="194"/>
      <c r="G109" s="355">
        <f t="shared" si="2"/>
      </c>
      <c r="H109" s="348"/>
      <c r="I109" s="360" t="s">
        <v>23</v>
      </c>
      <c r="J109" s="360" t="s">
        <v>23</v>
      </c>
      <c r="K109" s="361">
        <v>0.5</v>
      </c>
      <c r="L109" s="377"/>
      <c r="M109" s="357">
        <f t="shared" si="3"/>
      </c>
      <c r="N109" s="348"/>
      <c r="O109" s="100">
        <f>IF(RPA!C103="No Criteria","No Criteria","")</f>
      </c>
    </row>
    <row r="110" spans="1:15" ht="14.25">
      <c r="A110" s="358">
        <v>99</v>
      </c>
      <c r="B110" s="359" t="s">
        <v>112</v>
      </c>
      <c r="C110" s="353" t="s">
        <v>23</v>
      </c>
      <c r="D110" s="364" t="s">
        <v>23</v>
      </c>
      <c r="E110" s="494">
        <v>1.5</v>
      </c>
      <c r="F110" s="194"/>
      <c r="G110" s="355">
        <f t="shared" si="2"/>
      </c>
      <c r="H110" s="348"/>
      <c r="I110" s="360" t="s">
        <v>23</v>
      </c>
      <c r="J110" s="360" t="s">
        <v>23</v>
      </c>
      <c r="K110" s="361">
        <v>0.05</v>
      </c>
      <c r="L110" s="364"/>
      <c r="M110" s="357">
        <f t="shared" si="3"/>
      </c>
      <c r="N110" s="348"/>
      <c r="O110" s="100" t="str">
        <f>IF(RPA!C104="No Criteria","No Criteria","")</f>
        <v>No Criteria</v>
      </c>
    </row>
    <row r="111" spans="1:15" ht="14.25">
      <c r="A111" s="358">
        <v>100</v>
      </c>
      <c r="B111" s="359" t="s">
        <v>113</v>
      </c>
      <c r="C111" s="353" t="s">
        <v>23</v>
      </c>
      <c r="D111" s="364" t="s">
        <v>23</v>
      </c>
      <c r="E111" s="494">
        <v>3.6</v>
      </c>
      <c r="F111" s="194"/>
      <c r="G111" s="355">
        <f t="shared" si="2"/>
      </c>
      <c r="H111" s="348"/>
      <c r="I111" s="360" t="s">
        <v>23</v>
      </c>
      <c r="J111" s="360" t="s">
        <v>23</v>
      </c>
      <c r="K111" s="361">
        <v>0.05</v>
      </c>
      <c r="L111" s="364"/>
      <c r="M111" s="357">
        <f t="shared" si="3"/>
      </c>
      <c r="N111" s="348"/>
      <c r="O111" s="100">
        <f>IF(RPA!C105="No Criteria","No Criteria","")</f>
      </c>
    </row>
    <row r="112" spans="1:15" ht="14.25">
      <c r="A112" s="358">
        <v>101</v>
      </c>
      <c r="B112" s="359" t="s">
        <v>114</v>
      </c>
      <c r="C112" s="353" t="s">
        <v>23</v>
      </c>
      <c r="D112" s="364" t="s">
        <v>23</v>
      </c>
      <c r="E112" s="494">
        <v>0.33</v>
      </c>
      <c r="F112" s="194"/>
      <c r="G112" s="355">
        <f t="shared" si="2"/>
      </c>
      <c r="H112" s="348"/>
      <c r="I112" s="360" t="s">
        <v>23</v>
      </c>
      <c r="J112" s="360" t="s">
        <v>23</v>
      </c>
      <c r="K112" s="364">
        <v>0.33</v>
      </c>
      <c r="L112" s="377"/>
      <c r="M112" s="357">
        <f t="shared" si="3"/>
      </c>
      <c r="N112" s="348"/>
      <c r="O112" s="100" t="str">
        <f>IF(RPA!C106="No Criteria","No Criteria","")</f>
        <v>No Criteria</v>
      </c>
    </row>
    <row r="113" spans="1:15" ht="14.25">
      <c r="A113" s="358">
        <v>102</v>
      </c>
      <c r="B113" s="359" t="s">
        <v>115</v>
      </c>
      <c r="C113" s="353" t="s">
        <v>23</v>
      </c>
      <c r="D113" s="364" t="s">
        <v>23</v>
      </c>
      <c r="E113" s="494">
        <v>0.002</v>
      </c>
      <c r="F113" s="194"/>
      <c r="G113" s="355">
        <f t="shared" si="2"/>
      </c>
      <c r="H113" s="348"/>
      <c r="I113" s="360" t="s">
        <v>23</v>
      </c>
      <c r="J113" s="360" t="s">
        <v>23</v>
      </c>
      <c r="K113" s="361">
        <v>0.002</v>
      </c>
      <c r="L113" s="377"/>
      <c r="M113" s="357">
        <f t="shared" si="3"/>
      </c>
      <c r="N113" s="348"/>
      <c r="O113" s="100">
        <f>IF(RPA!C107="No Criteria","No Criteria","")</f>
      </c>
    </row>
    <row r="114" spans="1:15" ht="14.25">
      <c r="A114" s="358">
        <v>103</v>
      </c>
      <c r="B114" s="359" t="s">
        <v>116</v>
      </c>
      <c r="C114" s="353" t="s">
        <v>23</v>
      </c>
      <c r="D114" s="364" t="s">
        <v>23</v>
      </c>
      <c r="E114" s="495">
        <v>0.005</v>
      </c>
      <c r="F114" s="373"/>
      <c r="G114" s="374">
        <f t="shared" si="2"/>
      </c>
      <c r="H114" s="375"/>
      <c r="I114" s="360" t="s">
        <v>23</v>
      </c>
      <c r="J114" s="360" t="s">
        <v>23</v>
      </c>
      <c r="K114" s="361">
        <v>0.005</v>
      </c>
      <c r="L114" s="379"/>
      <c r="M114" s="357">
        <f t="shared" si="3"/>
      </c>
      <c r="N114" s="348"/>
      <c r="O114" s="100">
        <f>IF(RPA!C108="No Criteria","No Criteria","")</f>
      </c>
    </row>
    <row r="115" spans="1:15" ht="14.25">
      <c r="A115" s="358">
        <v>104</v>
      </c>
      <c r="B115" s="359" t="s">
        <v>117</v>
      </c>
      <c r="C115" s="353" t="s">
        <v>23</v>
      </c>
      <c r="D115" s="364" t="s">
        <v>23</v>
      </c>
      <c r="E115" s="494">
        <v>0.002</v>
      </c>
      <c r="F115" s="373"/>
      <c r="G115" s="374">
        <f t="shared" si="2"/>
      </c>
      <c r="H115" s="375"/>
      <c r="I115" s="360" t="s">
        <v>23</v>
      </c>
      <c r="J115" s="360" t="s">
        <v>23</v>
      </c>
      <c r="K115" s="361">
        <v>0.002</v>
      </c>
      <c r="L115" s="361"/>
      <c r="M115" s="357">
        <f t="shared" si="3"/>
      </c>
      <c r="N115" s="348"/>
      <c r="O115" s="100">
        <f>IF(RPA!C109="No Criteria","No Criteria","")</f>
      </c>
    </row>
    <row r="116" spans="1:15" ht="14.25">
      <c r="A116" s="358">
        <v>105</v>
      </c>
      <c r="B116" s="359" t="s">
        <v>118</v>
      </c>
      <c r="C116" s="353" t="s">
        <v>23</v>
      </c>
      <c r="D116" s="364" t="s">
        <v>23</v>
      </c>
      <c r="E116" s="494">
        <v>0.005</v>
      </c>
      <c r="F116" s="373"/>
      <c r="G116" s="374">
        <f t="shared" si="2"/>
      </c>
      <c r="H116" s="375"/>
      <c r="I116" s="360" t="s">
        <v>23</v>
      </c>
      <c r="J116" s="360" t="s">
        <v>23</v>
      </c>
      <c r="K116" s="361">
        <v>0.005</v>
      </c>
      <c r="L116" s="377"/>
      <c r="M116" s="357">
        <f t="shared" si="3"/>
      </c>
      <c r="N116" s="348"/>
      <c r="O116" s="100">
        <f>IF(RPA!C110="No Criteria","No Criteria","")</f>
      </c>
    </row>
    <row r="117" spans="1:15" ht="14.25">
      <c r="A117" s="358">
        <v>106</v>
      </c>
      <c r="B117" s="359" t="s">
        <v>119</v>
      </c>
      <c r="C117" s="353" t="s">
        <v>23</v>
      </c>
      <c r="D117" s="364" t="s">
        <v>23</v>
      </c>
      <c r="E117" s="494">
        <v>0.002</v>
      </c>
      <c r="F117" s="373"/>
      <c r="G117" s="374">
        <f t="shared" si="2"/>
      </c>
      <c r="H117" s="375"/>
      <c r="I117" s="360" t="s">
        <v>23</v>
      </c>
      <c r="J117" s="360" t="s">
        <v>23</v>
      </c>
      <c r="K117" s="361">
        <v>0.002</v>
      </c>
      <c r="L117" s="377"/>
      <c r="M117" s="357">
        <f t="shared" si="3"/>
      </c>
      <c r="N117" s="348"/>
      <c r="O117" s="100" t="str">
        <f>IF(RPA!C111="No Criteria","No Criteria","")</f>
        <v>No Criteria</v>
      </c>
    </row>
    <row r="118" spans="1:15" ht="14.25">
      <c r="A118" s="368">
        <v>107</v>
      </c>
      <c r="B118" s="13" t="s">
        <v>272</v>
      </c>
      <c r="C118" s="353" t="s">
        <v>23</v>
      </c>
      <c r="D118" s="364" t="s">
        <v>23</v>
      </c>
      <c r="E118" s="494">
        <v>0.01</v>
      </c>
      <c r="F118" s="194"/>
      <c r="G118" s="355">
        <f t="shared" si="2"/>
      </c>
      <c r="H118" s="348"/>
      <c r="I118" s="360" t="s">
        <v>23</v>
      </c>
      <c r="J118" s="360" t="s">
        <v>23</v>
      </c>
      <c r="K118" s="361">
        <v>0.01</v>
      </c>
      <c r="L118" s="364"/>
      <c r="M118" s="357">
        <f t="shared" si="3"/>
      </c>
      <c r="N118" s="348"/>
      <c r="O118" s="100">
        <f>IF(RPA!C112="No Criteria","No Criteria","")</f>
      </c>
    </row>
    <row r="119" spans="1:15" ht="14.25">
      <c r="A119" s="368">
        <v>108</v>
      </c>
      <c r="B119" s="13" t="s">
        <v>273</v>
      </c>
      <c r="C119" s="353" t="s">
        <v>23</v>
      </c>
      <c r="D119" s="364" t="s">
        <v>23</v>
      </c>
      <c r="E119" s="494">
        <v>0.005</v>
      </c>
      <c r="F119" s="194"/>
      <c r="G119" s="355">
        <f t="shared" si="2"/>
      </c>
      <c r="H119" s="348"/>
      <c r="I119" s="360" t="s">
        <v>23</v>
      </c>
      <c r="J119" s="360" t="s">
        <v>23</v>
      </c>
      <c r="K119" s="361">
        <v>0.005</v>
      </c>
      <c r="L119" s="364"/>
      <c r="M119" s="357">
        <f t="shared" si="3"/>
      </c>
      <c r="N119" s="348"/>
      <c r="O119" s="100">
        <f>IF(RPA!C113="No Criteria","No Criteria","")</f>
      </c>
    </row>
    <row r="120" spans="1:15" ht="14.25">
      <c r="A120" s="358">
        <v>109</v>
      </c>
      <c r="B120" s="10" t="s">
        <v>122</v>
      </c>
      <c r="C120" s="353" t="s">
        <v>23</v>
      </c>
      <c r="D120" s="364" t="s">
        <v>23</v>
      </c>
      <c r="E120" s="494">
        <v>0.005</v>
      </c>
      <c r="F120" s="194"/>
      <c r="G120" s="355">
        <f t="shared" si="2"/>
      </c>
      <c r="H120" s="348"/>
      <c r="I120" s="360" t="s">
        <v>23</v>
      </c>
      <c r="J120" s="360" t="s">
        <v>23</v>
      </c>
      <c r="K120" s="361">
        <v>0.005</v>
      </c>
      <c r="L120" s="364"/>
      <c r="M120" s="357">
        <f t="shared" si="3"/>
      </c>
      <c r="N120" s="348"/>
      <c r="O120" s="100">
        <f>IF(RPA!C114="No Criteria","No Criteria","")</f>
      </c>
    </row>
    <row r="121" spans="1:15" ht="14.25">
      <c r="A121" s="358">
        <v>110</v>
      </c>
      <c r="B121" s="359" t="s">
        <v>123</v>
      </c>
      <c r="C121" s="353" t="s">
        <v>23</v>
      </c>
      <c r="D121" s="364" t="s">
        <v>23</v>
      </c>
      <c r="E121" s="494">
        <v>0.01</v>
      </c>
      <c r="F121" s="194"/>
      <c r="G121" s="355">
        <f t="shared" si="2"/>
      </c>
      <c r="H121" s="348"/>
      <c r="I121" s="360" t="s">
        <v>23</v>
      </c>
      <c r="J121" s="360" t="s">
        <v>23</v>
      </c>
      <c r="K121" s="361">
        <v>0.01</v>
      </c>
      <c r="L121" s="364"/>
      <c r="M121" s="357">
        <f t="shared" si="3"/>
      </c>
      <c r="N121" s="348"/>
      <c r="O121" s="100">
        <f>IF(RPA!C115="No Criteria","No Criteria","")</f>
      </c>
    </row>
    <row r="122" spans="1:15" ht="14.25">
      <c r="A122" s="358">
        <v>111</v>
      </c>
      <c r="B122" s="27" t="s">
        <v>226</v>
      </c>
      <c r="C122" s="353" t="s">
        <v>23</v>
      </c>
      <c r="D122" s="364" t="s">
        <v>23</v>
      </c>
      <c r="E122" s="494">
        <v>0.005</v>
      </c>
      <c r="F122" s="194"/>
      <c r="G122" s="355">
        <f t="shared" si="2"/>
      </c>
      <c r="H122" s="348"/>
      <c r="I122" s="360" t="s">
        <v>23</v>
      </c>
      <c r="J122" s="360" t="s">
        <v>23</v>
      </c>
      <c r="K122" s="361">
        <v>0.005</v>
      </c>
      <c r="L122" s="364"/>
      <c r="M122" s="357">
        <f t="shared" si="3"/>
      </c>
      <c r="N122" s="348"/>
      <c r="O122" s="100">
        <f>IF(RPA!C116="No Criteria","No Criteria","")</f>
      </c>
    </row>
    <row r="123" spans="1:15" ht="14.25">
      <c r="A123" s="358">
        <v>112</v>
      </c>
      <c r="B123" s="359" t="s">
        <v>125</v>
      </c>
      <c r="C123" s="353" t="s">
        <v>23</v>
      </c>
      <c r="D123" s="364" t="s">
        <v>23</v>
      </c>
      <c r="E123" s="494">
        <v>0.005</v>
      </c>
      <c r="F123" s="194"/>
      <c r="G123" s="355">
        <f t="shared" si="2"/>
      </c>
      <c r="H123" s="348"/>
      <c r="I123" s="360" t="s">
        <v>23</v>
      </c>
      <c r="J123" s="360" t="s">
        <v>23</v>
      </c>
      <c r="K123" s="361">
        <v>0.005</v>
      </c>
      <c r="L123" s="364"/>
      <c r="M123" s="357">
        <f t="shared" si="3"/>
      </c>
      <c r="N123" s="348"/>
      <c r="O123" s="100">
        <f>IF(RPA!C117="No Criteria","No Criteria","")</f>
      </c>
    </row>
    <row r="124" spans="1:15" ht="14.25">
      <c r="A124" s="358">
        <v>113</v>
      </c>
      <c r="B124" s="359" t="s">
        <v>126</v>
      </c>
      <c r="C124" s="353" t="s">
        <v>23</v>
      </c>
      <c r="D124" s="364" t="s">
        <v>23</v>
      </c>
      <c r="E124" s="494">
        <v>0.005</v>
      </c>
      <c r="F124" s="373"/>
      <c r="G124" s="374">
        <f t="shared" si="2"/>
      </c>
      <c r="H124" s="375"/>
      <c r="I124" s="360" t="s">
        <v>23</v>
      </c>
      <c r="J124" s="360" t="s">
        <v>23</v>
      </c>
      <c r="K124" s="361">
        <v>0.005</v>
      </c>
      <c r="L124" s="364"/>
      <c r="M124" s="357">
        <f t="shared" si="3"/>
      </c>
      <c r="N124" s="348"/>
      <c r="O124" s="100">
        <f>IF(RPA!C118="No Criteria","No Criteria","")</f>
      </c>
    </row>
    <row r="125" spans="1:15" ht="14.25">
      <c r="A125" s="358">
        <v>114</v>
      </c>
      <c r="B125" s="359" t="s">
        <v>127</v>
      </c>
      <c r="C125" s="353" t="s">
        <v>23</v>
      </c>
      <c r="D125" s="364" t="s">
        <v>23</v>
      </c>
      <c r="E125" s="494">
        <v>0.01</v>
      </c>
      <c r="F125" s="194"/>
      <c r="G125" s="355">
        <f t="shared" si="2"/>
      </c>
      <c r="H125" s="348"/>
      <c r="I125" s="360" t="s">
        <v>23</v>
      </c>
      <c r="J125" s="360" t="s">
        <v>23</v>
      </c>
      <c r="K125" s="361">
        <v>0.01</v>
      </c>
      <c r="L125" s="364"/>
      <c r="M125" s="357">
        <f t="shared" si="3"/>
      </c>
      <c r="N125" s="348"/>
      <c r="O125" s="100">
        <f>IF(RPA!C119="No Criteria","No Criteria","")</f>
      </c>
    </row>
    <row r="126" spans="1:15" ht="14.25">
      <c r="A126" s="358">
        <v>115</v>
      </c>
      <c r="B126" s="359" t="s">
        <v>128</v>
      </c>
      <c r="C126" s="353" t="s">
        <v>23</v>
      </c>
      <c r="D126" s="364" t="s">
        <v>23</v>
      </c>
      <c r="E126" s="494">
        <v>0.005</v>
      </c>
      <c r="F126" s="194"/>
      <c r="G126" s="355">
        <f t="shared" si="2"/>
      </c>
      <c r="H126" s="348"/>
      <c r="I126" s="360" t="s">
        <v>23</v>
      </c>
      <c r="J126" s="360" t="s">
        <v>23</v>
      </c>
      <c r="K126" s="361">
        <v>0.005</v>
      </c>
      <c r="L126" s="364"/>
      <c r="M126" s="357">
        <f t="shared" si="3"/>
      </c>
      <c r="N126" s="348"/>
      <c r="O126" s="100">
        <f>IF(RPA!C120="No Criteria","No Criteria","")</f>
      </c>
    </row>
    <row r="127" spans="1:15" ht="14.25">
      <c r="A127" s="358">
        <v>116</v>
      </c>
      <c r="B127" s="359" t="s">
        <v>129</v>
      </c>
      <c r="C127" s="353" t="s">
        <v>23</v>
      </c>
      <c r="D127" s="364" t="s">
        <v>23</v>
      </c>
      <c r="E127" s="494">
        <v>0.005</v>
      </c>
      <c r="F127" s="194"/>
      <c r="G127" s="355">
        <f t="shared" si="2"/>
      </c>
      <c r="H127" s="348"/>
      <c r="I127" s="360" t="s">
        <v>23</v>
      </c>
      <c r="J127" s="360" t="s">
        <v>23</v>
      </c>
      <c r="K127" s="361">
        <v>0.005</v>
      </c>
      <c r="L127" s="377"/>
      <c r="M127" s="357">
        <f t="shared" si="3"/>
      </c>
      <c r="N127" s="348"/>
      <c r="O127" s="100">
        <f>IF(RPA!C121="No Criteria","No Criteria","")</f>
      </c>
    </row>
    <row r="128" spans="1:15" ht="14.25">
      <c r="A128" s="358">
        <v>117</v>
      </c>
      <c r="B128" s="359" t="s">
        <v>130</v>
      </c>
      <c r="C128" s="353" t="s">
        <v>23</v>
      </c>
      <c r="D128" s="364" t="s">
        <v>23</v>
      </c>
      <c r="E128" s="494">
        <v>0.005</v>
      </c>
      <c r="F128" s="194"/>
      <c r="G128" s="355">
        <f t="shared" si="2"/>
      </c>
      <c r="H128" s="348"/>
      <c r="I128" s="360" t="s">
        <v>23</v>
      </c>
      <c r="J128" s="360" t="s">
        <v>23</v>
      </c>
      <c r="K128" s="361">
        <v>0.005</v>
      </c>
      <c r="L128" s="364"/>
      <c r="M128" s="357">
        <f t="shared" si="3"/>
      </c>
      <c r="N128" s="348"/>
      <c r="O128" s="100">
        <f>IF(RPA!C122="No Criteria","No Criteria","")</f>
      </c>
    </row>
    <row r="129" spans="1:15" ht="14.25">
      <c r="A129" s="358">
        <v>118</v>
      </c>
      <c r="B129" s="359" t="s">
        <v>131</v>
      </c>
      <c r="C129" s="353" t="s">
        <v>23</v>
      </c>
      <c r="D129" s="364" t="s">
        <v>23</v>
      </c>
      <c r="E129" s="494">
        <v>0.005</v>
      </c>
      <c r="F129" s="194"/>
      <c r="G129" s="355">
        <f t="shared" si="2"/>
      </c>
      <c r="H129" s="348"/>
      <c r="I129" s="360" t="s">
        <v>23</v>
      </c>
      <c r="J129" s="360" t="s">
        <v>23</v>
      </c>
      <c r="K129" s="361">
        <v>0.005</v>
      </c>
      <c r="L129" s="364"/>
      <c r="M129" s="357">
        <f t="shared" si="3"/>
      </c>
      <c r="N129" s="348"/>
      <c r="O129" s="100">
        <f>IF(RPA!C123="No Criteria","No Criteria","")</f>
      </c>
    </row>
    <row r="130" spans="1:15" ht="14.25">
      <c r="A130" s="380" t="s">
        <v>229</v>
      </c>
      <c r="B130" s="89" t="s">
        <v>274</v>
      </c>
      <c r="C130" s="353" t="s">
        <v>23</v>
      </c>
      <c r="D130" s="364" t="s">
        <v>23</v>
      </c>
      <c r="E130" s="494">
        <v>0.1</v>
      </c>
      <c r="F130" s="373"/>
      <c r="G130" s="374">
        <f t="shared" si="2"/>
      </c>
      <c r="H130" s="375"/>
      <c r="I130" s="360" t="s">
        <v>23</v>
      </c>
      <c r="J130" s="360" t="s">
        <v>23</v>
      </c>
      <c r="K130" s="361">
        <v>0.1</v>
      </c>
      <c r="L130" s="377"/>
      <c r="M130" s="357">
        <f t="shared" si="3"/>
      </c>
      <c r="N130" s="348"/>
      <c r="O130" s="100">
        <f>IF(RPA!C124="No Criteria","No Criteria","")</f>
      </c>
    </row>
    <row r="131" spans="1:15" ht="14.25">
      <c r="A131" s="368">
        <v>126</v>
      </c>
      <c r="B131" s="369" t="s">
        <v>132</v>
      </c>
      <c r="C131" s="381" t="s">
        <v>23</v>
      </c>
      <c r="D131" s="382" t="s">
        <v>23</v>
      </c>
      <c r="E131" s="496">
        <v>0.1</v>
      </c>
      <c r="F131" s="383"/>
      <c r="G131" s="384">
        <f t="shared" si="2"/>
      </c>
      <c r="H131" s="375"/>
      <c r="I131" s="360" t="s">
        <v>23</v>
      </c>
      <c r="J131" s="360" t="s">
        <v>23</v>
      </c>
      <c r="K131" s="385">
        <v>0.1</v>
      </c>
      <c r="L131" s="377"/>
      <c r="M131" s="357">
        <f t="shared" si="3"/>
      </c>
      <c r="N131" s="348"/>
      <c r="O131" s="386">
        <f>IF(RPA!C125="No Criteria","No Criteria","")</f>
      </c>
    </row>
    <row r="132" spans="1:15" ht="14.25">
      <c r="A132" s="387"/>
      <c r="B132" s="9" t="s">
        <v>254</v>
      </c>
      <c r="C132" s="364" t="s">
        <v>24</v>
      </c>
      <c r="D132" s="376"/>
      <c r="E132" s="494"/>
      <c r="F132" s="373"/>
      <c r="G132" s="388">
        <f t="shared" si="2"/>
      </c>
      <c r="H132" s="389"/>
      <c r="I132" s="360" t="s">
        <v>24</v>
      </c>
      <c r="J132" s="360"/>
      <c r="K132" s="390"/>
      <c r="L132" s="364"/>
      <c r="M132" s="357">
        <f t="shared" si="3"/>
      </c>
      <c r="N132" s="391"/>
      <c r="O132" s="361">
        <f>IF(RPA!C126="No Criteria","No Criteria","")</f>
      </c>
    </row>
    <row r="133" spans="1:15" ht="14.25">
      <c r="A133" s="392"/>
      <c r="B133" s="392" t="s">
        <v>293</v>
      </c>
      <c r="C133" s="393" t="s">
        <v>24</v>
      </c>
      <c r="D133" s="392"/>
      <c r="E133" s="497"/>
      <c r="F133" s="393"/>
      <c r="G133" s="392"/>
      <c r="H133" s="392"/>
      <c r="I133" s="360" t="s">
        <v>24</v>
      </c>
      <c r="J133" s="360"/>
      <c r="K133" s="392"/>
      <c r="L133" s="14"/>
      <c r="M133" s="357">
        <f t="shared" si="3"/>
      </c>
      <c r="N133" s="392"/>
      <c r="O133" s="392"/>
    </row>
    <row r="135" spans="3:15" ht="18">
      <c r="C135" s="394"/>
      <c r="D135" s="394"/>
      <c r="E135" s="402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</row>
  </sheetData>
  <mergeCells count="12">
    <mergeCell ref="C7:G7"/>
    <mergeCell ref="I7:M7"/>
    <mergeCell ref="E8:E9"/>
    <mergeCell ref="F8:F9"/>
    <mergeCell ref="O8:O9"/>
    <mergeCell ref="A8:A9"/>
    <mergeCell ref="B8:B9"/>
    <mergeCell ref="C8:C9"/>
    <mergeCell ref="D8:D9"/>
    <mergeCell ref="I8:I9"/>
    <mergeCell ref="J8:J9"/>
    <mergeCell ref="K8:K9"/>
  </mergeCells>
  <printOptions/>
  <pageMargins left="0.75" right="0.75" top="1" bottom="1" header="0.5" footer="0.5"/>
  <pageSetup horizontalDpi="600" verticalDpi="600" orientation="portrait" scale="50" r:id="rId3"/>
  <headerFooter alignWithMargins="0">
    <oddHeader>&amp;CGWF Power Systems Site 5 -Data Input for RPA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6"/>
  <sheetViews>
    <sheetView zoomScale="67" zoomScaleNormal="67" workbookViewId="0" topLeftCell="A1">
      <pane xSplit="2" ySplit="3" topLeftCell="M4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O21" sqref="O21"/>
    </sheetView>
  </sheetViews>
  <sheetFormatPr defaultColWidth="9.140625" defaultRowHeight="12.75"/>
  <cols>
    <col min="2" max="2" width="20.8515625" style="0" customWidth="1"/>
    <col min="3" max="3" width="13.28125" style="252" customWidth="1"/>
    <col min="6" max="7" width="10.8515625" style="398" customWidth="1"/>
    <col min="8" max="8" width="25.57421875" style="0" customWidth="1"/>
    <col min="9" max="9" width="17.140625" style="1" customWidth="1"/>
    <col min="10" max="10" width="33.421875" style="0" customWidth="1"/>
    <col min="11" max="11" width="1.421875" style="0" customWidth="1"/>
    <col min="12" max="13" width="9.140625" style="424" customWidth="1"/>
    <col min="14" max="14" width="10.8515625" style="415" customWidth="1"/>
    <col min="15" max="15" width="10.8515625" style="445" customWidth="1"/>
    <col min="16" max="16" width="25.57421875" style="0" hidden="1" customWidth="1"/>
    <col min="17" max="17" width="42.00390625" style="428" customWidth="1"/>
    <col min="18" max="18" width="23.8515625" style="424" customWidth="1"/>
    <col min="19" max="19" width="14.8515625" style="415" hidden="1" customWidth="1"/>
    <col min="20" max="20" width="14.8515625" style="414" customWidth="1"/>
    <col min="21" max="21" width="43.57421875" style="276" hidden="1" customWidth="1"/>
    <col min="22" max="22" width="32.140625" style="405" bestFit="1" customWidth="1"/>
  </cols>
  <sheetData>
    <row r="1" spans="1:22" ht="17.25" thickBot="1" thickTop="1">
      <c r="A1" s="190" t="s">
        <v>0</v>
      </c>
      <c r="B1" s="191"/>
      <c r="C1" s="258"/>
      <c r="D1" s="192" t="s">
        <v>1</v>
      </c>
      <c r="E1" s="111" t="s">
        <v>2</v>
      </c>
      <c r="F1" s="395"/>
      <c r="G1" s="395"/>
      <c r="H1" s="112"/>
      <c r="I1" s="193"/>
      <c r="J1" s="112" t="s">
        <v>3</v>
      </c>
      <c r="K1" s="112"/>
      <c r="L1" s="425" t="s">
        <v>1</v>
      </c>
      <c r="M1" s="425" t="s">
        <v>2</v>
      </c>
      <c r="N1" s="556" t="s">
        <v>4</v>
      </c>
      <c r="O1" s="557"/>
      <c r="P1" s="112"/>
      <c r="Q1" s="425" t="s">
        <v>5</v>
      </c>
      <c r="R1" s="416" t="s">
        <v>248</v>
      </c>
      <c r="S1" s="552" t="s">
        <v>150</v>
      </c>
      <c r="T1" s="553"/>
      <c r="U1" s="554"/>
      <c r="V1" s="555"/>
    </row>
    <row r="2" spans="1:22" s="104" customFormat="1" ht="26.25" customHeight="1" thickBot="1">
      <c r="A2" s="535"/>
      <c r="B2" s="537" t="s">
        <v>6</v>
      </c>
      <c r="C2" s="259" t="s">
        <v>146</v>
      </c>
      <c r="D2" s="572" t="s">
        <v>148</v>
      </c>
      <c r="E2" s="574" t="s">
        <v>149</v>
      </c>
      <c r="F2" s="558" t="s">
        <v>243</v>
      </c>
      <c r="G2" s="558" t="s">
        <v>244</v>
      </c>
      <c r="H2" s="566" t="s">
        <v>240</v>
      </c>
      <c r="I2" s="24" t="s">
        <v>242</v>
      </c>
      <c r="J2" s="99" t="s">
        <v>245</v>
      </c>
      <c r="K2" s="446"/>
      <c r="L2" s="560" t="s">
        <v>255</v>
      </c>
      <c r="M2" s="560" t="s">
        <v>260</v>
      </c>
      <c r="N2" s="562" t="s">
        <v>243</v>
      </c>
      <c r="O2" s="570" t="s">
        <v>261</v>
      </c>
      <c r="P2" s="564" t="s">
        <v>262</v>
      </c>
      <c r="Q2" s="426" t="s">
        <v>247</v>
      </c>
      <c r="R2" s="568" t="s">
        <v>249</v>
      </c>
      <c r="S2" s="453"/>
      <c r="T2" s="466"/>
      <c r="U2" s="454"/>
      <c r="V2" s="405"/>
    </row>
    <row r="3" spans="1:22" s="104" customFormat="1" ht="64.5" customHeight="1" thickBot="1">
      <c r="A3" s="536"/>
      <c r="B3" s="538"/>
      <c r="C3" s="260" t="s">
        <v>185</v>
      </c>
      <c r="D3" s="573"/>
      <c r="E3" s="575"/>
      <c r="F3" s="559"/>
      <c r="G3" s="559"/>
      <c r="H3" s="567"/>
      <c r="I3" s="102" t="s">
        <v>241</v>
      </c>
      <c r="J3" s="404" t="s">
        <v>246</v>
      </c>
      <c r="K3" s="447"/>
      <c r="L3" s="561"/>
      <c r="M3" s="561"/>
      <c r="N3" s="563"/>
      <c r="O3" s="571"/>
      <c r="P3" s="565"/>
      <c r="Q3" s="427" t="s">
        <v>583</v>
      </c>
      <c r="R3" s="569"/>
      <c r="S3" s="406" t="s">
        <v>250</v>
      </c>
      <c r="T3" s="467" t="s">
        <v>250</v>
      </c>
      <c r="U3" s="103" t="s">
        <v>238</v>
      </c>
      <c r="V3" s="405" t="s">
        <v>582</v>
      </c>
    </row>
    <row r="4" spans="1:22" ht="15.75" thickTop="1">
      <c r="A4" s="2">
        <v>1</v>
      </c>
      <c r="B4" s="3" t="s">
        <v>22</v>
      </c>
      <c r="C4" s="261">
        <f>Criteria!C11</f>
        <v>4300</v>
      </c>
      <c r="D4" s="100" t="str">
        <f>'data input for RPA'!C10</f>
        <v>Y</v>
      </c>
      <c r="E4" s="100" t="str">
        <f>IF('data input for RPA'!D10="","",'data input for RPA'!D10)</f>
        <v>Y</v>
      </c>
      <c r="F4" s="396">
        <f>IF('data input for RPA'!E10="","",'data input for RPA'!E10)</f>
        <v>0.3</v>
      </c>
      <c r="G4" s="396">
        <f>IF('data input for RPA'!F10="","",'data input for RPA'!F10)</f>
      </c>
      <c r="H4" s="9" t="str">
        <f>IF(C4="No Criteria","No Criteria",IF(D4="N","No effluent data",IF(E4="N","",IF(F4&lt;C4,"All ND, MDL&lt;C, MEC=MDL","All ND, MinDL&gt;C, Go to Step 5, &amp; IM"))))</f>
        <v>All ND, MDL&lt;C, MEC=MDL</v>
      </c>
      <c r="I4" s="101">
        <f>IF(C4="No Criteria","No Criteria",IF(D4="N","",IF(E4="N",G4,IF(H4="All ND, MDL&lt;C, MEC=MDL",F4,""))))</f>
        <v>0.3</v>
      </c>
      <c r="J4" s="101" t="str">
        <f>IF(C4="No Criteria","No Criteria",IF(I4="","",IF(I4&gt;=C4,"MEC&gt;=C, Effluent Limits Required","MEC&lt;C, go to Step 5")))</f>
        <v>MEC&lt;C, go to Step 5</v>
      </c>
      <c r="K4" s="448"/>
      <c r="L4" s="417" t="str">
        <f>IF('data input for RPA'!I10="","",'data input for RPA'!I10)</f>
        <v>Y</v>
      </c>
      <c r="M4" s="417" t="str">
        <f>IF('data input for RPA'!J10="","",'data input for RPA'!J10)</f>
        <v>N</v>
      </c>
      <c r="N4" s="434">
        <f>IF('data input for RPA'!K10="","",'data input for RPA'!K10)</f>
      </c>
      <c r="O4" s="435">
        <f>IF('data input for RPA'!L10="","",'data input for RPA'!L10)</f>
        <v>0.86</v>
      </c>
      <c r="P4" s="431">
        <f>IF(N4="","",IF(N4&gt;C4,"Y","N"))</f>
      </c>
      <c r="Q4" s="468" t="str">
        <f aca="true" t="shared" si="0" ref="Q4:Q20">IF(C4="No Criteria","No Criteria",IF(O4="","No detected value of B, Step 7",IF(AND(O4&gt;C4,E4="Y"),"B&gt;C, MEC = ND, No Effluent Limit Required",IF(AND(O4&gt;C4,E4="N"),"B&gt;C; MEC is Detected; Effluent Limit Required",IF(AND(O4&gt;C4,E4=""),"B&gt;C, No Effluent Data","B&lt;C, Step 7")))))</f>
        <v>B&lt;C, Step 7</v>
      </c>
      <c r="R4" s="417">
        <f>'data input for RPA'!O10</f>
      </c>
      <c r="S4" s="407" t="str">
        <f>IF(C4="No Criteria","Uo",IF(D4="N",IF(L4="N","Ud",IF(M4="Y","No",IF(O4&gt;C4,"Yes","Ud"))),IF(H4="All ND, MinDL&gt;C, Go to Step 5, &amp; IM",IF(L4="N","No",IF(M4="Y","No",IF(O4&gt;C4,"Yes","No"))),IF(I4="No Criteria","Uo",IF(OR(I4&gt;C4,I4=C4),"Yes",IF(M4="N",IF(AND(O4&gt;C4,E4="N"),"Yes","No"),"No"))))))</f>
        <v>No</v>
      </c>
      <c r="T4" s="465" t="str">
        <f aca="true" t="shared" si="1" ref="T4:T20">IF(AND(S4="Yes",Q4="B&gt;C, No Effluent Data"),"No",S4)</f>
        <v>No</v>
      </c>
      <c r="U4" s="105" t="str">
        <f aca="true" t="shared" si="2" ref="U4:U21">IF(C4="No Criteria","No Criteria",IF(D4="N",IF(L4="N","no effluent data &amp; no B",IF(M4="Y","No effluent data &amp; B is ND",IF(O4&gt;C4,"B&gt;C","no effluent data &amp; B&lt;C"))),IF(H4="All ND, MinDL&gt;C, Go to Step 5, &amp; IM",IF(L4="N","MDL&gt;C &amp; No B",IF(M4="Y","Effluent data and B are ND",IF(O4&gt;C4,"B&gt;C","UD; effluent data ND, MDL&gt;C &amp; B&lt;C"))),IF(I4="No Criteria","No Criteria",IF(OR(I4&gt;C4,I4=C4),"MEC&gt;C or MEC=C",IF(M4="N",IF(O4&gt;C4,"B&gt;C","MEC&lt;C &amp; B&lt;C"),"MEC&lt;C &amp; B is ND"))))))</f>
        <v>MEC&lt;C &amp; B&lt;C</v>
      </c>
      <c r="V4" s="451" t="str">
        <f>IF(AND(U4="B&gt;C",S4="No"),"B&gt;C; MEC is ND",U4)</f>
        <v>MEC&lt;C &amp; B&lt;C</v>
      </c>
    </row>
    <row r="5" spans="1:22" ht="15">
      <c r="A5" s="6">
        <v>2</v>
      </c>
      <c r="B5" s="7" t="s">
        <v>135</v>
      </c>
      <c r="C5" s="261">
        <f>Criteria!C12</f>
        <v>36</v>
      </c>
      <c r="D5" s="100" t="str">
        <f>'data input for RPA'!C11</f>
        <v>Y</v>
      </c>
      <c r="E5" s="100" t="str">
        <f>IF('data input for RPA'!D11="","",'data input for RPA'!D11)</f>
        <v>N</v>
      </c>
      <c r="F5" s="396">
        <f>IF('data input for RPA'!E11="","",'data input for RPA'!E11)</f>
      </c>
      <c r="G5" s="396">
        <f>IF('data input for RPA'!F11="","",'data input for RPA'!F11)</f>
        <v>1.8</v>
      </c>
      <c r="H5" s="9">
        <f aca="true" t="shared" si="3" ref="H5:H69">IF(C5="No Criteria","No Criteria",IF(D5="N","No effluent data",IF(E5="N","",IF(F5&lt;C5,"All ND, MDL&lt;C, MEC=MDL","All ND, MinDL&gt;C, Go to Step 5, &amp; IM"))))</f>
      </c>
      <c r="I5" s="101">
        <f aca="true" t="shared" si="4" ref="I5:I69">IF(C5="No Criteria","No Criteria",IF(D5="N","",IF(E5="N",G5,IF(H5="All ND, MDL&lt;C, MEC=MDL",F5,""))))</f>
        <v>1.8</v>
      </c>
      <c r="J5" s="101" t="str">
        <f aca="true" t="shared" si="5" ref="J5:J69">IF(C5="No Criteria","No Criteria",IF(I5="","",IF(I5&gt;=C5,"MEC&gt;=C, Effluent Limits Required","MEC&lt;C, go to Step 5")))</f>
        <v>MEC&lt;C, go to Step 5</v>
      </c>
      <c r="K5" s="448"/>
      <c r="L5" s="417" t="str">
        <f>IF('data input for RPA'!I11="","",'data input for RPA'!I11)</f>
        <v>Y</v>
      </c>
      <c r="M5" s="417" t="str">
        <f>IF('data input for RPA'!J11="","",'data input for RPA'!J11)</f>
        <v>N</v>
      </c>
      <c r="N5" s="434">
        <f>IF('data input for RPA'!K11="","",'data input for RPA'!K11)</f>
      </c>
      <c r="O5" s="435">
        <f>IF('data input for RPA'!L11="","",'data input for RPA'!L11)</f>
        <v>5</v>
      </c>
      <c r="P5" s="431">
        <f aca="true" t="shared" si="6" ref="P5:P69">IF(N5="","",IF(N5&gt;C5,"Y","N"))</f>
      </c>
      <c r="Q5" s="468" t="str">
        <f t="shared" si="0"/>
        <v>B&lt;C, Step 7</v>
      </c>
      <c r="R5" s="417">
        <f>'data input for RPA'!O11</f>
      </c>
      <c r="S5" s="407" t="str">
        <f aca="true" t="shared" si="7" ref="S5:S68">IF(C5="No Criteria","Uo",IF(D5="N",IF(L5="N","Ud",IF(M5="Y","No",IF(O5&gt;C5,"Yes","Ud"))),IF(H5="All ND, MinDL&gt;C, Go to Step 5, &amp; IM",IF(L5="N","No",IF(M5="Y","No",IF(O5&gt;C5,"Yes","No"))),IF(I5="No Criteria","Uo",IF(OR(I5&gt;C5,I5=C5),"Yes",IF(M5="N",IF(AND(O5&gt;C5,E5="N"),"Yes","No"),"No"))))))</f>
        <v>No</v>
      </c>
      <c r="T5" s="465" t="str">
        <f t="shared" si="1"/>
        <v>No</v>
      </c>
      <c r="U5" s="105" t="str">
        <f t="shared" si="2"/>
        <v>MEC&lt;C &amp; B&lt;C</v>
      </c>
      <c r="V5" s="452" t="str">
        <f aca="true" t="shared" si="8" ref="V5:V20">IF(AND(U5="B&gt;C",T5="No",E5="Y"),"B&gt;C; MEC is ND",IF(AND(U5="B&gt;C",T5="No",E5=""),"B&gt;C, No Effluent Data",U5))</f>
        <v>MEC&lt;C &amp; B&lt;C</v>
      </c>
    </row>
    <row r="6" spans="1:22" ht="15">
      <c r="A6" s="6">
        <v>3</v>
      </c>
      <c r="B6" s="7" t="s">
        <v>25</v>
      </c>
      <c r="C6" s="261" t="str">
        <f>Criteria!C13</f>
        <v>No Criteria</v>
      </c>
      <c r="D6" s="100" t="str">
        <f>'data input for RPA'!C12</f>
        <v>Y</v>
      </c>
      <c r="E6" s="100" t="str">
        <f>IF('data input for RPA'!D12="","",'data input for RPA'!D12)</f>
        <v>Y</v>
      </c>
      <c r="F6" s="396">
        <f>IF('data input for RPA'!E12="","",'data input for RPA'!E12)</f>
        <v>0.04</v>
      </c>
      <c r="G6" s="396">
        <f>IF('data input for RPA'!F12="","",'data input for RPA'!F12)</f>
      </c>
      <c r="H6" s="9" t="str">
        <f t="shared" si="3"/>
        <v>No Criteria</v>
      </c>
      <c r="I6" s="101" t="str">
        <f t="shared" si="4"/>
        <v>No Criteria</v>
      </c>
      <c r="J6" s="101" t="str">
        <f t="shared" si="5"/>
        <v>No Criteria</v>
      </c>
      <c r="K6" s="448"/>
      <c r="L6" s="417" t="str">
        <f>IF('data input for RPA'!I12="","",'data input for RPA'!I12)</f>
        <v>Y</v>
      </c>
      <c r="M6" s="417" t="str">
        <f>IF('data input for RPA'!J12="","",'data input for RPA'!J12)</f>
        <v>N</v>
      </c>
      <c r="N6" s="434">
        <f>IF('data input for RPA'!K12="","",'data input for RPA'!K12)</f>
      </c>
      <c r="O6" s="435">
        <f>IF('data input for RPA'!L12="","",'data input for RPA'!L12)</f>
        <v>0.08</v>
      </c>
      <c r="P6" s="431">
        <f t="shared" si="6"/>
      </c>
      <c r="Q6" s="468" t="str">
        <f t="shared" si="0"/>
        <v>No Criteria</v>
      </c>
      <c r="R6" s="417" t="str">
        <f>'data input for RPA'!O12</f>
        <v>No Criteria</v>
      </c>
      <c r="S6" s="407" t="str">
        <f t="shared" si="7"/>
        <v>Uo</v>
      </c>
      <c r="T6" s="465" t="str">
        <f t="shared" si="1"/>
        <v>Uo</v>
      </c>
      <c r="U6" s="105" t="str">
        <f t="shared" si="2"/>
        <v>No Criteria</v>
      </c>
      <c r="V6" s="452" t="str">
        <f t="shared" si="8"/>
        <v>No Criteria</v>
      </c>
    </row>
    <row r="7" spans="1:22" ht="15">
      <c r="A7" s="6">
        <v>4</v>
      </c>
      <c r="B7" s="7" t="s">
        <v>136</v>
      </c>
      <c r="C7" s="256">
        <f>Criteria!C14</f>
        <v>0.3819220677503161</v>
      </c>
      <c r="D7" s="100" t="str">
        <f>'data input for RPA'!C13</f>
        <v>Y</v>
      </c>
      <c r="E7" s="353" t="str">
        <f>IF('data input for RPA'!D13="","",'data input for RPA'!D13)</f>
        <v>Y</v>
      </c>
      <c r="F7" s="400">
        <f>IF('data input for RPA'!E13="","",'data input for RPA'!E13)</f>
        <v>0.03</v>
      </c>
      <c r="G7" s="396">
        <f>IF('data input for RPA'!F13="","",'data input for RPA'!F13)</f>
      </c>
      <c r="H7" s="106" t="str">
        <f t="shared" si="3"/>
        <v>All ND, MDL&lt;C, MEC=MDL</v>
      </c>
      <c r="I7" s="101">
        <f t="shared" si="4"/>
        <v>0.03</v>
      </c>
      <c r="J7" s="101" t="str">
        <f t="shared" si="5"/>
        <v>MEC&lt;C, go to Step 5</v>
      </c>
      <c r="K7" s="448"/>
      <c r="L7" s="417" t="str">
        <f>IF('data input for RPA'!I13="","",'data input for RPA'!I13)</f>
        <v>Y</v>
      </c>
      <c r="M7" s="417" t="str">
        <f>IF('data input for RPA'!J13="","",'data input for RPA'!J13)</f>
        <v>N</v>
      </c>
      <c r="N7" s="434">
        <f>IF('data input for RPA'!K13="","",'data input for RPA'!K13)</f>
      </c>
      <c r="O7" s="435">
        <f>IF('data input for RPA'!L13="","",'data input for RPA'!L13)</f>
        <v>0.23</v>
      </c>
      <c r="P7" s="431">
        <f t="shared" si="6"/>
      </c>
      <c r="Q7" s="468" t="str">
        <f t="shared" si="0"/>
        <v>B&lt;C, Step 7</v>
      </c>
      <c r="R7" s="417">
        <f>'data input for RPA'!O13</f>
      </c>
      <c r="S7" s="407" t="str">
        <f t="shared" si="7"/>
        <v>No</v>
      </c>
      <c r="T7" s="465" t="str">
        <f t="shared" si="1"/>
        <v>No</v>
      </c>
      <c r="U7" s="105" t="str">
        <f t="shared" si="2"/>
        <v>MEC&lt;C &amp; B&lt;C</v>
      </c>
      <c r="V7" s="452" t="str">
        <f t="shared" si="8"/>
        <v>MEC&lt;C &amp; B&lt;C</v>
      </c>
    </row>
    <row r="8" spans="1:22" s="16" customFormat="1" ht="15">
      <c r="A8" s="6" t="s">
        <v>26</v>
      </c>
      <c r="B8" s="28" t="s">
        <v>302</v>
      </c>
      <c r="C8" s="256">
        <f>Criteria!C15</f>
        <v>66.50381407757216</v>
      </c>
      <c r="D8" s="100" t="str">
        <f>'data input for RPA'!C14</f>
        <v>Y</v>
      </c>
      <c r="E8" s="100" t="str">
        <f>IF('data input for RPA'!D14="","",'data input for RPA'!D14)</f>
        <v>Y</v>
      </c>
      <c r="F8" s="396">
        <f>IF('data input for RPA'!E14="","",'data input for RPA'!E14)</f>
        <v>0.2</v>
      </c>
      <c r="G8" s="396">
        <f>IF('data input for RPA'!F14="","",'data input for RPA'!F14)</f>
      </c>
      <c r="H8" s="9" t="str">
        <f t="shared" si="3"/>
        <v>All ND, MDL&lt;C, MEC=MDL</v>
      </c>
      <c r="I8" s="101">
        <f t="shared" si="4"/>
        <v>0.2</v>
      </c>
      <c r="J8" s="101" t="str">
        <f t="shared" si="5"/>
        <v>MEC&lt;C, go to Step 5</v>
      </c>
      <c r="K8" s="448"/>
      <c r="L8" s="417" t="str">
        <f>IF('data input for RPA'!I14="","",'data input for RPA'!I14)</f>
        <v>Y</v>
      </c>
      <c r="M8" s="417" t="str">
        <f>IF('data input for RPA'!J14="","",'data input for RPA'!J14)</f>
        <v>N</v>
      </c>
      <c r="N8" s="434">
        <f>IF('data input for RPA'!K14="","",'data input for RPA'!K14)</f>
      </c>
      <c r="O8" s="435">
        <f>IF('data input for RPA'!L14="","",'data input for RPA'!L14)</f>
        <v>9.1</v>
      </c>
      <c r="P8" s="431">
        <f t="shared" si="6"/>
      </c>
      <c r="Q8" s="468" t="str">
        <f t="shared" si="0"/>
        <v>B&lt;C, Step 7</v>
      </c>
      <c r="R8" s="417">
        <f>'data input for RPA'!O14</f>
      </c>
      <c r="S8" s="407" t="str">
        <f t="shared" si="7"/>
        <v>No</v>
      </c>
      <c r="T8" s="465" t="str">
        <f t="shared" si="1"/>
        <v>No</v>
      </c>
      <c r="U8" s="105" t="str">
        <f t="shared" si="2"/>
        <v>MEC&lt;C &amp; B&lt;C</v>
      </c>
      <c r="V8" s="452" t="str">
        <f t="shared" si="8"/>
        <v>MEC&lt;C &amp; B&lt;C</v>
      </c>
    </row>
    <row r="9" spans="1:22" ht="15">
      <c r="A9" s="6" t="s">
        <v>27</v>
      </c>
      <c r="B9" s="7" t="s">
        <v>145</v>
      </c>
      <c r="C9" s="256">
        <f>Criteria!C16</f>
        <v>11.434511434511435</v>
      </c>
      <c r="D9" s="100" t="str">
        <f>'data input for RPA'!C15</f>
        <v>Y</v>
      </c>
      <c r="E9" s="100" t="str">
        <f>IF('data input for RPA'!D15="","",'data input for RPA'!D15)</f>
        <v>Y</v>
      </c>
      <c r="F9" s="396">
        <f>IF('data input for RPA'!E15="","",'data input for RPA'!E15)</f>
        <v>5</v>
      </c>
      <c r="G9" s="396">
        <f>IF('data input for RPA'!F15="","",'data input for RPA'!F15)</f>
      </c>
      <c r="H9" s="9" t="str">
        <f t="shared" si="3"/>
        <v>All ND, MDL&lt;C, MEC=MDL</v>
      </c>
      <c r="I9" s="101">
        <f t="shared" si="4"/>
        <v>5</v>
      </c>
      <c r="J9" s="101" t="str">
        <f t="shared" si="5"/>
        <v>MEC&lt;C, go to Step 5</v>
      </c>
      <c r="K9" s="448"/>
      <c r="L9" s="417" t="str">
        <f>IF('data input for RPA'!I15="","",'data input for RPA'!I15)</f>
        <v>Y</v>
      </c>
      <c r="M9" s="417" t="str">
        <f>IF('data input for RPA'!J15="","",'data input for RPA'!J15)</f>
        <v>Y</v>
      </c>
      <c r="N9" s="434">
        <f>IF('data input for RPA'!K15="","",'data input for RPA'!K15)</f>
        <v>5</v>
      </c>
      <c r="O9" s="435">
        <f>IF('data input for RPA'!L15="","",'data input for RPA'!L15)</f>
      </c>
      <c r="P9" s="431" t="str">
        <f t="shared" si="6"/>
        <v>N</v>
      </c>
      <c r="Q9" s="468" t="str">
        <f t="shared" si="0"/>
        <v>No detected value of B, Step 7</v>
      </c>
      <c r="R9" s="417">
        <f>'data input for RPA'!O15</f>
      </c>
      <c r="S9" s="407" t="str">
        <f t="shared" si="7"/>
        <v>No</v>
      </c>
      <c r="T9" s="465" t="str">
        <f t="shared" si="1"/>
        <v>No</v>
      </c>
      <c r="U9" s="105" t="str">
        <f t="shared" si="2"/>
        <v>MEC&lt;C &amp; B is ND</v>
      </c>
      <c r="V9" s="452" t="str">
        <f t="shared" si="8"/>
        <v>MEC&lt;C &amp; B is ND</v>
      </c>
    </row>
    <row r="10" spans="1:22" s="16" customFormat="1" ht="15">
      <c r="A10" s="6">
        <v>6</v>
      </c>
      <c r="B10" s="27" t="s">
        <v>205</v>
      </c>
      <c r="C10" s="256">
        <f>Criteria!C17</f>
        <v>2.853451723055603</v>
      </c>
      <c r="D10" s="100" t="str">
        <f>'data input for RPA'!C16</f>
        <v>Y</v>
      </c>
      <c r="E10" s="353" t="str">
        <f>IF('data input for RPA'!D16="","",'data input for RPA'!D16)</f>
        <v>N</v>
      </c>
      <c r="F10" s="400">
        <f>IF('data input for RPA'!E16="","",'data input for RPA'!E16)</f>
      </c>
      <c r="G10" s="396">
        <f>IF('data input for RPA'!F16="","",'data input for RPA'!F16)</f>
        <v>2</v>
      </c>
      <c r="H10" s="106">
        <f t="shared" si="3"/>
      </c>
      <c r="I10" s="403">
        <f t="shared" si="4"/>
        <v>2</v>
      </c>
      <c r="J10" s="403" t="str">
        <f t="shared" si="5"/>
        <v>MEC&lt;C, go to Step 5</v>
      </c>
      <c r="K10" s="449"/>
      <c r="L10" s="418" t="str">
        <f>IF('data input for RPA'!I16="","",'data input for RPA'!I16)</f>
        <v>Y</v>
      </c>
      <c r="M10" s="418" t="str">
        <f>IF('data input for RPA'!J16="","",'data input for RPA'!J16)</f>
        <v>N</v>
      </c>
      <c r="N10" s="436">
        <f>IF('data input for RPA'!K16="","",'data input for RPA'!K16)</f>
      </c>
      <c r="O10" s="437">
        <f>IF('data input for RPA'!L16="","",'data input for RPA'!L16)</f>
        <v>14</v>
      </c>
      <c r="P10" s="432">
        <f t="shared" si="6"/>
      </c>
      <c r="Q10" s="468" t="str">
        <f t="shared" si="0"/>
        <v>B&gt;C; MEC is Detected; Effluent Limit Required</v>
      </c>
      <c r="R10" s="418">
        <f>'data input for RPA'!O16</f>
      </c>
      <c r="S10" s="407" t="str">
        <f t="shared" si="7"/>
        <v>Yes</v>
      </c>
      <c r="T10" s="465" t="str">
        <f t="shared" si="1"/>
        <v>Yes</v>
      </c>
      <c r="U10" s="105" t="str">
        <f t="shared" si="2"/>
        <v>B&gt;C</v>
      </c>
      <c r="V10" s="452" t="str">
        <f t="shared" si="8"/>
        <v>B&gt;C</v>
      </c>
    </row>
    <row r="11" spans="1:22" s="16" customFormat="1" ht="15">
      <c r="A11" s="6">
        <v>7</v>
      </c>
      <c r="B11" s="28" t="s">
        <v>137</v>
      </c>
      <c r="C11" s="256">
        <f>Criteria!C18</f>
        <v>0.5447811770515438</v>
      </c>
      <c r="D11" s="100" t="str">
        <f>'data input for RPA'!C17</f>
        <v>Y</v>
      </c>
      <c r="E11" s="353" t="str">
        <f>IF('data input for RPA'!D17="","",'data input for RPA'!D17)</f>
        <v>Y</v>
      </c>
      <c r="F11" s="400">
        <f>IF('data input for RPA'!E17="","",'data input for RPA'!E17)</f>
        <v>0.46</v>
      </c>
      <c r="G11" s="396">
        <f>IF('data input for RPA'!F17="","",'data input for RPA'!F17)</f>
      </c>
      <c r="H11" s="106" t="str">
        <f t="shared" si="3"/>
        <v>All ND, MDL&lt;C, MEC=MDL</v>
      </c>
      <c r="I11" s="403">
        <f t="shared" si="4"/>
        <v>0.46</v>
      </c>
      <c r="J11" s="403" t="str">
        <f t="shared" si="5"/>
        <v>MEC&lt;C, go to Step 5</v>
      </c>
      <c r="K11" s="449"/>
      <c r="L11" s="418" t="str">
        <f>IF('data input for RPA'!I17="","",'data input for RPA'!I17)</f>
        <v>Y</v>
      </c>
      <c r="M11" s="418" t="str">
        <f>IF('data input for RPA'!J17="","",'data input for RPA'!J17)</f>
        <v>N</v>
      </c>
      <c r="N11" s="436">
        <f>IF('data input for RPA'!K17="","",'data input for RPA'!K17)</f>
      </c>
      <c r="O11" s="437">
        <f>IF('data input for RPA'!L17="","",'data input for RPA'!L17)</f>
        <v>9.3</v>
      </c>
      <c r="P11" s="432">
        <f t="shared" si="6"/>
      </c>
      <c r="Q11" s="468" t="str">
        <f t="shared" si="0"/>
        <v>B&gt;C, MEC = ND, No Effluent Limit Required</v>
      </c>
      <c r="R11" s="418">
        <f>'data input for RPA'!O17</f>
      </c>
      <c r="S11" s="407" t="str">
        <f t="shared" si="7"/>
        <v>No</v>
      </c>
      <c r="T11" s="465" t="str">
        <f t="shared" si="1"/>
        <v>No</v>
      </c>
      <c r="U11" s="105" t="str">
        <f t="shared" si="2"/>
        <v>B&gt;C</v>
      </c>
      <c r="V11" s="452" t="str">
        <f t="shared" si="8"/>
        <v>B&gt;C; MEC is ND</v>
      </c>
    </row>
    <row r="12" spans="1:22" s="16" customFormat="1" ht="15">
      <c r="A12" s="6">
        <v>8</v>
      </c>
      <c r="B12" s="27" t="s">
        <v>138</v>
      </c>
      <c r="C12" s="261">
        <f>Criteria!C19</f>
        <v>0.025</v>
      </c>
      <c r="D12" s="100" t="str">
        <f>'data input for RPA'!C18</f>
        <v>Y</v>
      </c>
      <c r="E12" s="353" t="str">
        <f>IF('data input for RPA'!D18="","",'data input for RPA'!D18)</f>
        <v>Y</v>
      </c>
      <c r="F12" s="400">
        <f>IF('data input for RPA'!E18="","",'data input for RPA'!E18)</f>
        <v>1E-05</v>
      </c>
      <c r="G12" s="396">
        <f>IF('data input for RPA'!F18="","",'data input for RPA'!F18)</f>
      </c>
      <c r="H12" s="106" t="str">
        <f t="shared" si="3"/>
        <v>All ND, MDL&lt;C, MEC=MDL</v>
      </c>
      <c r="I12" s="403">
        <f t="shared" si="4"/>
        <v>1E-05</v>
      </c>
      <c r="J12" s="403" t="str">
        <f t="shared" si="5"/>
        <v>MEC&lt;C, go to Step 5</v>
      </c>
      <c r="K12" s="449"/>
      <c r="L12" s="418" t="str">
        <f>IF('data input for RPA'!I18="","",'data input for RPA'!I18)</f>
        <v>Y</v>
      </c>
      <c r="M12" s="418" t="str">
        <f>IF('data input for RPA'!J18="","",'data input for RPA'!J18)</f>
        <v>N</v>
      </c>
      <c r="N12" s="436">
        <f>IF('data input for RPA'!K18="","",'data input for RPA'!K18)</f>
      </c>
      <c r="O12" s="437">
        <f>IF('data input for RPA'!L18="","",'data input for RPA'!L18)</f>
        <v>0.0328</v>
      </c>
      <c r="P12" s="432">
        <f t="shared" si="6"/>
      </c>
      <c r="Q12" s="468" t="str">
        <f t="shared" si="0"/>
        <v>B&gt;C, MEC = ND, No Effluent Limit Required</v>
      </c>
      <c r="R12" s="418">
        <f>'data input for RPA'!O18</f>
      </c>
      <c r="S12" s="407" t="str">
        <f t="shared" si="7"/>
        <v>No</v>
      </c>
      <c r="T12" s="465" t="str">
        <f t="shared" si="1"/>
        <v>No</v>
      </c>
      <c r="U12" s="105" t="str">
        <f t="shared" si="2"/>
        <v>B&gt;C</v>
      </c>
      <c r="V12" s="452" t="str">
        <f t="shared" si="8"/>
        <v>B&gt;C; MEC is ND</v>
      </c>
    </row>
    <row r="13" spans="1:22" s="16" customFormat="1" ht="15">
      <c r="A13" s="6">
        <v>9</v>
      </c>
      <c r="B13" s="27" t="s">
        <v>139</v>
      </c>
      <c r="C13" s="256">
        <f>Criteria!C20</f>
        <v>8.282828282828282</v>
      </c>
      <c r="D13" s="100" t="str">
        <f>'data input for RPA'!C19</f>
        <v>Y</v>
      </c>
      <c r="E13" s="353" t="str">
        <f>IF('data input for RPA'!D19="","",'data input for RPA'!D19)</f>
        <v>Y</v>
      </c>
      <c r="F13" s="400">
        <f>IF('data input for RPA'!E19="","",'data input for RPA'!E19)</f>
        <v>0.5</v>
      </c>
      <c r="G13" s="396">
        <f>IF('data input for RPA'!F19="","",'data input for RPA'!F19)</f>
      </c>
      <c r="H13" s="106" t="str">
        <f t="shared" si="3"/>
        <v>All ND, MDL&lt;C, MEC=MDL</v>
      </c>
      <c r="I13" s="403">
        <f t="shared" si="4"/>
        <v>0.5</v>
      </c>
      <c r="J13" s="403" t="str">
        <f t="shared" si="5"/>
        <v>MEC&lt;C, go to Step 5</v>
      </c>
      <c r="K13" s="449"/>
      <c r="L13" s="418" t="str">
        <f>IF('data input for RPA'!I19="","",'data input for RPA'!I19)</f>
        <v>Y</v>
      </c>
      <c r="M13" s="418" t="str">
        <f>IF('data input for RPA'!J19="","",'data input for RPA'!J19)</f>
        <v>N</v>
      </c>
      <c r="N13" s="436">
        <f>IF('data input for RPA'!K19="","",'data input for RPA'!K19)</f>
      </c>
      <c r="O13" s="437">
        <f>IF('data input for RPA'!L19="","",'data input for RPA'!L19)</f>
        <v>10</v>
      </c>
      <c r="P13" s="432">
        <f t="shared" si="6"/>
      </c>
      <c r="Q13" s="468" t="str">
        <f t="shared" si="0"/>
        <v>B&gt;C, MEC = ND, No Effluent Limit Required</v>
      </c>
      <c r="R13" s="418">
        <f>'data input for RPA'!O19</f>
      </c>
      <c r="S13" s="407" t="str">
        <f t="shared" si="7"/>
        <v>No</v>
      </c>
      <c r="T13" s="465" t="str">
        <f t="shared" si="1"/>
        <v>No</v>
      </c>
      <c r="U13" s="105" t="str">
        <f t="shared" si="2"/>
        <v>B&gt;C</v>
      </c>
      <c r="V13" s="452" t="str">
        <f t="shared" si="8"/>
        <v>B&gt;C; MEC is ND</v>
      </c>
    </row>
    <row r="14" spans="1:22" s="16" customFormat="1" ht="15">
      <c r="A14" s="6">
        <v>10</v>
      </c>
      <c r="B14" s="27" t="s">
        <v>143</v>
      </c>
      <c r="C14" s="261">
        <f>Criteria!C21</f>
        <v>5</v>
      </c>
      <c r="D14" s="100" t="str">
        <f>'data input for RPA'!C20</f>
        <v>Y</v>
      </c>
      <c r="E14" s="353" t="str">
        <f>IF('data input for RPA'!D20="","",'data input for RPA'!D20)</f>
        <v>Y</v>
      </c>
      <c r="F14" s="400">
        <f>IF('data input for RPA'!E20="","",'data input for RPA'!E20)</f>
        <v>0.3</v>
      </c>
      <c r="G14" s="396">
        <f>IF('data input for RPA'!F20="","",'data input for RPA'!F20)</f>
      </c>
      <c r="H14" s="106" t="str">
        <f t="shared" si="3"/>
        <v>All ND, MDL&lt;C, MEC=MDL</v>
      </c>
      <c r="I14" s="403">
        <f t="shared" si="4"/>
        <v>0.3</v>
      </c>
      <c r="J14" s="403" t="str">
        <f t="shared" si="5"/>
        <v>MEC&lt;C, go to Step 5</v>
      </c>
      <c r="K14" s="449"/>
      <c r="L14" s="418" t="str">
        <f>IF('data input for RPA'!I20="","",'data input for RPA'!I20)</f>
        <v>Y</v>
      </c>
      <c r="M14" s="418" t="str">
        <f>IF('data input for RPA'!J20="","",'data input for RPA'!J20)</f>
        <v>N</v>
      </c>
      <c r="N14" s="436">
        <f>IF('data input for RPA'!K20="","",'data input for RPA'!K20)</f>
      </c>
      <c r="O14" s="437">
        <f>IF('data input for RPA'!L20="","",'data input for RPA'!L20)</f>
        <v>15</v>
      </c>
      <c r="P14" s="432">
        <f t="shared" si="6"/>
      </c>
      <c r="Q14" s="468" t="str">
        <f t="shared" si="0"/>
        <v>B&gt;C, MEC = ND, No Effluent Limit Required</v>
      </c>
      <c r="R14" s="418">
        <f>'data input for RPA'!O20</f>
      </c>
      <c r="S14" s="407" t="str">
        <f t="shared" si="7"/>
        <v>No</v>
      </c>
      <c r="T14" s="465" t="str">
        <f t="shared" si="1"/>
        <v>No</v>
      </c>
      <c r="U14" s="105" t="str">
        <f t="shared" si="2"/>
        <v>B&gt;C</v>
      </c>
      <c r="V14" s="452" t="str">
        <f t="shared" si="8"/>
        <v>B&gt;C; MEC is ND</v>
      </c>
    </row>
    <row r="15" spans="1:22" s="16" customFormat="1" ht="15">
      <c r="A15" s="6">
        <v>11</v>
      </c>
      <c r="B15" s="28" t="s">
        <v>140</v>
      </c>
      <c r="C15" s="256">
        <f>Criteria!C22</f>
        <v>0.3739872469449391</v>
      </c>
      <c r="D15" s="100" t="str">
        <f>'data input for RPA'!C21</f>
        <v>Y</v>
      </c>
      <c r="E15" s="353" t="str">
        <f>IF('data input for RPA'!D21="","",'data input for RPA'!D21)</f>
        <v>Y</v>
      </c>
      <c r="F15" s="400">
        <f>IF('data input for RPA'!E21="","",'data input for RPA'!E21)</f>
        <v>0.03</v>
      </c>
      <c r="G15" s="396">
        <f>IF('data input for RPA'!F21="","",'data input for RPA'!F21)</f>
      </c>
      <c r="H15" s="106" t="str">
        <f t="shared" si="3"/>
        <v>All ND, MDL&lt;C, MEC=MDL</v>
      </c>
      <c r="I15" s="403">
        <f t="shared" si="4"/>
        <v>0.03</v>
      </c>
      <c r="J15" s="403" t="str">
        <f t="shared" si="5"/>
        <v>MEC&lt;C, go to Step 5</v>
      </c>
      <c r="K15" s="449"/>
      <c r="L15" s="418" t="str">
        <f>IF('data input for RPA'!I21="","",'data input for RPA'!I21)</f>
        <v>Y</v>
      </c>
      <c r="M15" s="418" t="str">
        <f>IF('data input for RPA'!J21="","",'data input for RPA'!J21)</f>
        <v>N</v>
      </c>
      <c r="N15" s="436">
        <f>IF('data input for RPA'!K21="","",'data input for RPA'!K21)</f>
      </c>
      <c r="O15" s="437">
        <f>IF('data input for RPA'!L21="","",'data input for RPA'!L21)</f>
        <v>0.12</v>
      </c>
      <c r="P15" s="432">
        <f t="shared" si="6"/>
      </c>
      <c r="Q15" s="468" t="str">
        <f t="shared" si="0"/>
        <v>B&lt;C, Step 7</v>
      </c>
      <c r="R15" s="418">
        <f>'data input for RPA'!O21</f>
      </c>
      <c r="S15" s="407" t="str">
        <f t="shared" si="7"/>
        <v>No</v>
      </c>
      <c r="T15" s="465" t="str">
        <f t="shared" si="1"/>
        <v>No</v>
      </c>
      <c r="U15" s="105" t="str">
        <f t="shared" si="2"/>
        <v>MEC&lt;C &amp; B&lt;C</v>
      </c>
      <c r="V15" s="452" t="str">
        <f t="shared" si="8"/>
        <v>MEC&lt;C &amp; B&lt;C</v>
      </c>
    </row>
    <row r="16" spans="1:22" s="16" customFormat="1" ht="15">
      <c r="A16" s="6">
        <v>12</v>
      </c>
      <c r="B16" s="28" t="s">
        <v>28</v>
      </c>
      <c r="C16" s="261">
        <f>Criteria!C23</f>
        <v>6.3</v>
      </c>
      <c r="D16" s="100" t="str">
        <f>'data input for RPA'!C22</f>
        <v>Y</v>
      </c>
      <c r="E16" s="353" t="str">
        <f>IF('data input for RPA'!D22="","",'data input for RPA'!D22)</f>
        <v>Y</v>
      </c>
      <c r="F16" s="400">
        <f>IF('data input for RPA'!E22="","",'data input for RPA'!E22)</f>
        <v>0.2</v>
      </c>
      <c r="G16" s="396">
        <f>IF('data input for RPA'!F22="","",'data input for RPA'!F22)</f>
      </c>
      <c r="H16" s="106" t="str">
        <f t="shared" si="3"/>
        <v>All ND, MDL&lt;C, MEC=MDL</v>
      </c>
      <c r="I16" s="403">
        <f t="shared" si="4"/>
        <v>0.2</v>
      </c>
      <c r="J16" s="403" t="str">
        <f t="shared" si="5"/>
        <v>MEC&lt;C, go to Step 5</v>
      </c>
      <c r="K16" s="449"/>
      <c r="L16" s="418" t="str">
        <f>IF('data input for RPA'!I22="","",'data input for RPA'!I22)</f>
        <v>Y</v>
      </c>
      <c r="M16" s="418" t="str">
        <f>IF('data input for RPA'!J22="","",'data input for RPA'!J22)</f>
        <v>N</v>
      </c>
      <c r="N16" s="436">
        <f>IF('data input for RPA'!K22="","",'data input for RPA'!K22)</f>
      </c>
      <c r="O16" s="437">
        <f>IF('data input for RPA'!L22="","",'data input for RPA'!L22)</f>
        <v>0.2</v>
      </c>
      <c r="P16" s="432">
        <f t="shared" si="6"/>
      </c>
      <c r="Q16" s="468" t="str">
        <f t="shared" si="0"/>
        <v>B&lt;C, Step 7</v>
      </c>
      <c r="R16" s="418">
        <f>'data input for RPA'!O22</f>
      </c>
      <c r="S16" s="407" t="str">
        <f t="shared" si="7"/>
        <v>No</v>
      </c>
      <c r="T16" s="465" t="str">
        <f t="shared" si="1"/>
        <v>No</v>
      </c>
      <c r="U16" s="105" t="str">
        <f t="shared" si="2"/>
        <v>MEC&lt;C &amp; B&lt;C</v>
      </c>
      <c r="V16" s="452" t="str">
        <f t="shared" si="8"/>
        <v>MEC&lt;C &amp; B&lt;C</v>
      </c>
    </row>
    <row r="17" spans="1:22" s="16" customFormat="1" ht="15">
      <c r="A17" s="6">
        <v>13</v>
      </c>
      <c r="B17" s="27" t="s">
        <v>141</v>
      </c>
      <c r="C17" s="256">
        <f>Criteria!C24</f>
        <v>37.0161197397773</v>
      </c>
      <c r="D17" s="100" t="str">
        <f>'data input for RPA'!C23</f>
        <v>Y</v>
      </c>
      <c r="E17" s="353" t="str">
        <f>IF('data input for RPA'!D23="","",'data input for RPA'!D23)</f>
        <v>Y</v>
      </c>
      <c r="F17" s="400">
        <f>IF('data input for RPA'!E23="","",'data input for RPA'!E23)</f>
        <v>3</v>
      </c>
      <c r="G17" s="396">
        <f>IF('data input for RPA'!F23="","",'data input for RPA'!F23)</f>
      </c>
      <c r="H17" s="106" t="str">
        <f t="shared" si="3"/>
        <v>All ND, MDL&lt;C, MEC=MDL</v>
      </c>
      <c r="I17" s="403">
        <f t="shared" si="4"/>
        <v>3</v>
      </c>
      <c r="J17" s="403" t="str">
        <f t="shared" si="5"/>
        <v>MEC&lt;C, go to Step 5</v>
      </c>
      <c r="K17" s="449"/>
      <c r="L17" s="418" t="str">
        <f>IF('data input for RPA'!I23="","",'data input for RPA'!I23)</f>
        <v>Y</v>
      </c>
      <c r="M17" s="418" t="str">
        <f>IF('data input for RPA'!J23="","",'data input for RPA'!J23)</f>
        <v>N</v>
      </c>
      <c r="N17" s="436">
        <f>IF('data input for RPA'!K23="","",'data input for RPA'!K23)</f>
      </c>
      <c r="O17" s="437">
        <f>IF('data input for RPA'!L23="","",'data input for RPA'!L23)</f>
        <v>110</v>
      </c>
      <c r="P17" s="432">
        <f t="shared" si="6"/>
      </c>
      <c r="Q17" s="468" t="str">
        <f t="shared" si="0"/>
        <v>B&gt;C, MEC = ND, No Effluent Limit Required</v>
      </c>
      <c r="R17" s="418">
        <f>'data input for RPA'!O23</f>
      </c>
      <c r="S17" s="407" t="str">
        <f t="shared" si="7"/>
        <v>No</v>
      </c>
      <c r="T17" s="465" t="str">
        <f t="shared" si="1"/>
        <v>No</v>
      </c>
      <c r="U17" s="105" t="str">
        <f t="shared" si="2"/>
        <v>B&gt;C</v>
      </c>
      <c r="V17" s="452" t="str">
        <f t="shared" si="8"/>
        <v>B&gt;C; MEC is ND</v>
      </c>
    </row>
    <row r="18" spans="1:22" s="16" customFormat="1" ht="15">
      <c r="A18" s="6">
        <v>14</v>
      </c>
      <c r="B18" s="27" t="s">
        <v>142</v>
      </c>
      <c r="C18" s="261">
        <f>Criteria!C25</f>
        <v>1</v>
      </c>
      <c r="D18" s="100" t="str">
        <f>'data input for RPA'!C24</f>
        <v>Y</v>
      </c>
      <c r="E18" s="353" t="str">
        <f>IF('data input for RPA'!D24="","",'data input for RPA'!D24)</f>
        <v>Y</v>
      </c>
      <c r="F18" s="400">
        <f>IF('data input for RPA'!E24="","",'data input for RPA'!E24)</f>
        <v>3</v>
      </c>
      <c r="G18" s="396">
        <f>IF('data input for RPA'!F24="","",'data input for RPA'!F24)</f>
      </c>
      <c r="H18" s="106" t="str">
        <f t="shared" si="3"/>
        <v>All ND, MinDL&gt;C, Go to Step 5, &amp; IM</v>
      </c>
      <c r="I18" s="403">
        <f t="shared" si="4"/>
      </c>
      <c r="J18" s="403">
        <f t="shared" si="5"/>
      </c>
      <c r="K18" s="449"/>
      <c r="L18" s="418" t="str">
        <f>IF('data input for RPA'!I24="","",'data input for RPA'!I24)</f>
        <v>Y</v>
      </c>
      <c r="M18" s="418" t="str">
        <f>IF('data input for RPA'!J24="","",'data input for RPA'!J24)</f>
        <v>Y</v>
      </c>
      <c r="N18" s="436">
        <f>IF('data input for RPA'!K24="","",'data input for RPA'!K24)</f>
        <v>5</v>
      </c>
      <c r="O18" s="437">
        <f>IF('data input for RPA'!L24="","",'data input for RPA'!L24)</f>
      </c>
      <c r="P18" s="432" t="str">
        <f>IF(N18="","",IF(N18&gt;C18,"Y","N"))</f>
        <v>Y</v>
      </c>
      <c r="Q18" s="468" t="str">
        <f t="shared" si="0"/>
        <v>No detected value of B, Step 7</v>
      </c>
      <c r="R18" s="418">
        <f>'data input for RPA'!O24</f>
      </c>
      <c r="S18" s="407" t="str">
        <f t="shared" si="7"/>
        <v>No</v>
      </c>
      <c r="T18" s="465" t="str">
        <f t="shared" si="1"/>
        <v>No</v>
      </c>
      <c r="U18" s="105" t="str">
        <f t="shared" si="2"/>
        <v>Effluent data and B are ND</v>
      </c>
      <c r="V18" s="452" t="str">
        <f t="shared" si="8"/>
        <v>Effluent data and B are ND</v>
      </c>
    </row>
    <row r="19" spans="1:22" s="16" customFormat="1" ht="15">
      <c r="A19" s="6">
        <v>15</v>
      </c>
      <c r="B19" s="28" t="s">
        <v>29</v>
      </c>
      <c r="C19" s="261" t="str">
        <f>Criteria!C26</f>
        <v>No Criteria</v>
      </c>
      <c r="D19" s="100" t="str">
        <f>'data input for RPA'!C25</f>
        <v>Y</v>
      </c>
      <c r="E19" s="353" t="str">
        <f>IF('data input for RPA'!D25="","",'data input for RPA'!D25)</f>
        <v>Y</v>
      </c>
      <c r="F19" s="400">
        <f>IF('data input for RPA'!E25="","",'data input for RPA'!E25)</f>
        <v>0.021</v>
      </c>
      <c r="G19" s="396">
        <f>IF('data input for RPA'!F25="","",'data input for RPA'!F25)</f>
      </c>
      <c r="H19" s="106" t="str">
        <f t="shared" si="3"/>
        <v>No Criteria</v>
      </c>
      <c r="I19" s="403" t="str">
        <f t="shared" si="4"/>
        <v>No Criteria</v>
      </c>
      <c r="J19" s="403" t="str">
        <f>IF(C19="No Criteria","No Criteria",IF(I19="","",IF(I19&gt;=C19,"MEC&gt;=C, Effluent Limits Required","MEC&lt;C, go to Step 5")))</f>
        <v>No Criteria</v>
      </c>
      <c r="K19" s="449"/>
      <c r="L19" s="418" t="str">
        <f>IF('data input for RPA'!I25="","",'data input for RPA'!I25)</f>
        <v>N</v>
      </c>
      <c r="M19" s="418">
        <f>IF('data input for RPA'!J25="","",'data input for RPA'!J25)</f>
      </c>
      <c r="N19" s="436">
        <f>IF('data input for RPA'!K25="","",'data input for RPA'!K25)</f>
      </c>
      <c r="O19" s="437">
        <f>IF('data input for RPA'!L25="","",'data input for RPA'!L25)</f>
      </c>
      <c r="P19" s="432">
        <f>IF(N19="","",IF(N19&gt;C19,"Y","N"))</f>
      </c>
      <c r="Q19" s="468" t="str">
        <f t="shared" si="0"/>
        <v>No Criteria</v>
      </c>
      <c r="R19" s="418" t="str">
        <f>'data input for RPA'!O25</f>
        <v>No Criteria</v>
      </c>
      <c r="S19" s="407" t="str">
        <f t="shared" si="7"/>
        <v>Uo</v>
      </c>
      <c r="T19" s="465" t="str">
        <f t="shared" si="1"/>
        <v>Uo</v>
      </c>
      <c r="U19" s="105" t="str">
        <f t="shared" si="2"/>
        <v>No Criteria</v>
      </c>
      <c r="V19" s="452" t="str">
        <f t="shared" si="8"/>
        <v>No Criteria</v>
      </c>
    </row>
    <row r="20" spans="1:22" s="16" customFormat="1" ht="15">
      <c r="A20" s="12">
        <v>16</v>
      </c>
      <c r="B20" s="469" t="s">
        <v>303</v>
      </c>
      <c r="C20" s="470">
        <f>Criteria!C27</f>
        <v>1.4E-08</v>
      </c>
      <c r="D20" s="353" t="str">
        <f>'data input for RPA'!C26</f>
        <v>Y</v>
      </c>
      <c r="E20" s="353" t="str">
        <f>IF('data input for RPA'!D26="","",'data input for RPA'!D26)</f>
        <v>Y</v>
      </c>
      <c r="F20" s="400">
        <f>IF('data input for RPA'!E26="","",'data input for RPA'!E26)</f>
        <v>8.47E-07</v>
      </c>
      <c r="G20" s="400">
        <f>IF('data input for RPA'!F26="","",'data input for RPA'!F26)</f>
      </c>
      <c r="H20" s="106" t="str">
        <f t="shared" si="3"/>
        <v>All ND, MinDL&gt;C, Go to Step 5, &amp; IM</v>
      </c>
      <c r="I20" s="403">
        <f t="shared" si="4"/>
      </c>
      <c r="J20" s="403">
        <f>IF(C20="No Criteria","No Criteria",IF(I20="","",IF(I20&gt;=C20,"MEC&gt;=C, Effluent Limits Required","MEC&lt;C, go to Step 5")))</f>
      </c>
      <c r="K20" s="449"/>
      <c r="L20" s="418" t="str">
        <f>IF('data input for RPA'!I26="","",'data input for RPA'!I26)</f>
        <v>Y</v>
      </c>
      <c r="M20" s="418" t="str">
        <f>IF('data input for RPA'!J26="","",'data input for RPA'!J26)</f>
        <v>Y</v>
      </c>
      <c r="N20" s="436">
        <f>IF('data input for RPA'!K26="","",'data input for RPA'!K26)</f>
        <v>1.8E-06</v>
      </c>
      <c r="O20" s="437">
        <f>IF('data input for RPA'!L26="","",'data input for RPA'!L26)</f>
      </c>
      <c r="P20" s="432" t="str">
        <f>IF(N20="","",IF(N20&gt;C20,"Y","N"))</f>
        <v>Y</v>
      </c>
      <c r="Q20" s="468" t="str">
        <f t="shared" si="0"/>
        <v>No detected value of B, Step 7</v>
      </c>
      <c r="R20" s="418"/>
      <c r="S20" s="407" t="str">
        <f t="shared" si="7"/>
        <v>No</v>
      </c>
      <c r="T20" s="465" t="str">
        <f t="shared" si="1"/>
        <v>No</v>
      </c>
      <c r="U20" s="105" t="str">
        <f t="shared" si="2"/>
        <v>Effluent data and B are ND</v>
      </c>
      <c r="V20" s="452" t="str">
        <f t="shared" si="8"/>
        <v>Effluent data and B are ND</v>
      </c>
    </row>
    <row r="21" spans="1:22" s="16" customFormat="1" ht="15">
      <c r="A21" s="12"/>
      <c r="B21" s="471" t="s">
        <v>294</v>
      </c>
      <c r="C21" s="470">
        <f>Criteria!C27</f>
        <v>1.4E-08</v>
      </c>
      <c r="D21" s="353" t="str">
        <f>'data input for RPA'!C27</f>
        <v>Y</v>
      </c>
      <c r="E21" s="353" t="str">
        <f>IF('data input for RPA'!D27="","",'data input for RPA'!D27)</f>
        <v>Y</v>
      </c>
      <c r="F21" s="400">
        <f>IF('data input for RPA'!E27="","",'data input for RPA'!E27)</f>
        <v>1.68E-06</v>
      </c>
      <c r="G21" s="400">
        <f>IF('data input for RPA'!F27="","",'data input for RPA'!F27)</f>
      </c>
      <c r="H21" s="106" t="str">
        <f t="shared" si="3"/>
        <v>All ND, MinDL&gt;C, Go to Step 5, &amp; IM</v>
      </c>
      <c r="I21" s="403">
        <f t="shared" si="4"/>
      </c>
      <c r="J21" s="403">
        <f t="shared" si="5"/>
      </c>
      <c r="K21" s="449"/>
      <c r="L21" s="418" t="str">
        <f>IF('data input for RPA'!I27="","",'data input for RPA'!I27)</f>
        <v>Y</v>
      </c>
      <c r="M21" s="418" t="str">
        <f>IF('data input for RPA'!J27="","",'data input for RPA'!J27)</f>
        <v>N</v>
      </c>
      <c r="N21" s="436">
        <f>IF('data input for RPA'!K27="","",'data input for RPA'!K27)</f>
      </c>
      <c r="O21" s="437">
        <f>IF('data input for RPA'!L27="","",'data input for RPA'!L27)</f>
        <v>1.257E-07</v>
      </c>
      <c r="P21" s="432">
        <f>IF(N21="","",IF(N21&gt;C21,"Y","N"))</f>
      </c>
      <c r="Q21" s="468" t="str">
        <f>IF(C21="No Criteria","No Criteria",IF(O21="","No detected value of B, Step 7",IF(AND(O21&gt;C21,E21="Y"),"B&gt;C, MEC = ND, No Effluent Limit Required",IF(AND(O21&gt;C21,E21="N"),"B&gt;C; MEC is Detected; Effluent Limit Required",IF(AND(O21&gt;C21,E21=""),"B&gt;C, No Effluent Data","B&lt;C, Step 7")))))</f>
        <v>B&gt;C, MEC = ND, No Effluent Limit Required</v>
      </c>
      <c r="R21" s="418">
        <f>'data input for RPA'!O27</f>
      </c>
      <c r="S21" s="407" t="str">
        <f>IF(C21="No Criteria","Uo",IF(D21="N",IF(L21="N","Ud",IF(M21="Y","No",IF(O21&gt;C21,"Yes","Ud"))),IF(H21="All ND, MinDL&gt;C, Go to Step 5, &amp; IM",IF(L21="N","No",IF(M21="Y","No",IF(O21&gt;C21,"Yes","No"))),IF(I21="No Criteria","Uo",IF(OR(I21&gt;C21,I21=C21),"Yes",IF(M21="N",IF(AND(O21&gt;C21,E21="N"),"Yes","No"),"No"))))))</f>
        <v>Yes</v>
      </c>
      <c r="T21" s="498" t="s">
        <v>744</v>
      </c>
      <c r="U21" s="105" t="str">
        <f t="shared" si="2"/>
        <v>B&gt;C</v>
      </c>
      <c r="V21" s="452" t="str">
        <f>IF(AND(U21="B&gt;C",T21="No",E21="Y"),"B&gt;C; MEC is ND",IF(AND(U21="B&gt;C",T21="No",E21=""),"B&gt;C, No Effluent Data",U21))</f>
        <v>B&gt;C; MEC is ND</v>
      </c>
    </row>
    <row r="22" spans="1:22" s="16" customFormat="1" ht="15">
      <c r="A22" s="6">
        <v>17</v>
      </c>
      <c r="B22" s="28" t="s">
        <v>30</v>
      </c>
      <c r="C22" s="261">
        <f>Criteria!C28</f>
        <v>780</v>
      </c>
      <c r="D22" s="353" t="str">
        <f>'data input for RPA'!C28</f>
        <v>N</v>
      </c>
      <c r="E22" s="353">
        <f>IF('data input for RPA'!D28="","",'data input for RPA'!D28)</f>
      </c>
      <c r="F22" s="400">
        <f>IF('data input for RPA'!E28="","",'data input for RPA'!E28)</f>
      </c>
      <c r="G22" s="400">
        <f>IF('data input for RPA'!F28="","",'data input for RPA'!F28)</f>
      </c>
      <c r="H22" s="106" t="str">
        <f t="shared" si="3"/>
        <v>No effluent data</v>
      </c>
      <c r="I22" s="403">
        <f t="shared" si="4"/>
      </c>
      <c r="J22" s="403">
        <f t="shared" si="5"/>
      </c>
      <c r="K22" s="449"/>
      <c r="L22" s="418" t="str">
        <f>IF('data input for RPA'!I28="","",'data input for RPA'!I28)</f>
        <v>Y</v>
      </c>
      <c r="M22" s="418" t="str">
        <f>IF('data input for RPA'!J28="","",'data input for RPA'!J28)</f>
        <v>Y</v>
      </c>
      <c r="N22" s="436">
        <f>IF('data input for RPA'!K28="","",'data input for RPA'!K28)</f>
        <v>5</v>
      </c>
      <c r="O22" s="437">
        <f>IF('data input for RPA'!L28="","",'data input for RPA'!L28)</f>
      </c>
      <c r="P22" s="432" t="str">
        <f t="shared" si="6"/>
        <v>N</v>
      </c>
      <c r="Q22" s="468" t="str">
        <f aca="true" t="shared" si="9" ref="Q22:Q85">IF(C22="No Criteria","No Criteria",IF(O22="","No detected value of B, Step 7",IF(AND(O22&gt;C22,E22="Y"),"B&gt;C, MEC = ND, No Effluent Limit Required",IF(AND(O22&gt;C22,E22="N"),"B&gt;C; MEC is Detected; Effluent Limit Required",IF(AND(O22&gt;C22,E22=""),"B&gt;C, No Effluent Data","B&lt;C, Step 7")))))</f>
        <v>No detected value of B, Step 7</v>
      </c>
      <c r="R22" s="418">
        <f>'data input for RPA'!O28</f>
      </c>
      <c r="S22" s="407" t="str">
        <f t="shared" si="7"/>
        <v>No</v>
      </c>
      <c r="T22" s="465" t="str">
        <f aca="true" t="shared" si="10" ref="T22:T85">IF(AND(S22="Yes",Q22="B&gt;C, No Effluent Data"),"No",S22)</f>
        <v>No</v>
      </c>
      <c r="U22" s="105" t="str">
        <f>IF(C22="No Criteria","No Criteria",IF(D22="N",IF(L22="N","No effluent data &amp; no B",IF(M22="Y","No effluent data &amp; B is ND",IF(O22&gt;C22,"B&gt;C","no effluent data &amp; B&lt;C"))),IF(H22="All ND, MinDL&gt;C, Go to Step 5, &amp; IM",IF(L22="N","MDL&gt;C &amp; No B",IF(M22="Y","Effluent data and B are ND",IF(O22&gt;C22,"B&gt;C","UD; effluent data ND, MDL&gt;C &amp; B&lt;C"))),IF(I22="No Criteria","No Criteria",IF(OR(I22&gt;C22,I22=C22),"MEC&gt;C or MEC=C",IF(M22="N",IF(O22&gt;C22,"B&gt;C","MEC&lt;C &amp; B&lt;C"),"MEC&lt;C &amp; B is ND"))))))</f>
        <v>No effluent data &amp; B is ND</v>
      </c>
      <c r="V22" s="452" t="str">
        <f aca="true" t="shared" si="11" ref="V22:V85">IF(AND(U22="B&gt;C",T22="No",E22="Y"),"B&gt;C; MEC is ND",IF(AND(U22="B&gt;C",T22="No",E22=""),"B&gt;C, No Effluent Data",U22))</f>
        <v>No effluent data &amp; B is ND</v>
      </c>
    </row>
    <row r="23" spans="1:22" s="16" customFormat="1" ht="15">
      <c r="A23" s="6">
        <v>18</v>
      </c>
      <c r="B23" s="28" t="s">
        <v>31</v>
      </c>
      <c r="C23" s="261">
        <f>Criteria!C29</f>
        <v>0.66</v>
      </c>
      <c r="D23" s="353" t="str">
        <f>'data input for RPA'!C29</f>
        <v>N</v>
      </c>
      <c r="E23" s="353">
        <f>IF('data input for RPA'!D29="","",'data input for RPA'!D29)</f>
      </c>
      <c r="F23" s="400">
        <f>IF('data input for RPA'!E29="","",'data input for RPA'!E29)</f>
      </c>
      <c r="G23" s="400">
        <f>IF('data input for RPA'!F29="","",'data input for RPA'!F29)</f>
      </c>
      <c r="H23" s="106" t="str">
        <f t="shared" si="3"/>
        <v>No effluent data</v>
      </c>
      <c r="I23" s="403">
        <f t="shared" si="4"/>
      </c>
      <c r="J23" s="403">
        <f t="shared" si="5"/>
      </c>
      <c r="K23" s="449"/>
      <c r="L23" s="418" t="str">
        <f>IF('data input for RPA'!I29="","",'data input for RPA'!I29)</f>
        <v>Y</v>
      </c>
      <c r="M23" s="418" t="str">
        <f>IF('data input for RPA'!J29="","",'data input for RPA'!J29)</f>
        <v>Y</v>
      </c>
      <c r="N23" s="436">
        <f>IF('data input for RPA'!K29="","",'data input for RPA'!K29)</f>
        <v>2</v>
      </c>
      <c r="O23" s="437">
        <f>IF('data input for RPA'!L29="","",'data input for RPA'!L29)</f>
      </c>
      <c r="P23" s="432" t="str">
        <f t="shared" si="6"/>
        <v>Y</v>
      </c>
      <c r="Q23" s="468" t="str">
        <f t="shared" si="9"/>
        <v>No detected value of B, Step 7</v>
      </c>
      <c r="R23" s="418">
        <f>'data input for RPA'!O29</f>
      </c>
      <c r="S23" s="407" t="str">
        <f t="shared" si="7"/>
        <v>No</v>
      </c>
      <c r="T23" s="465" t="str">
        <f t="shared" si="10"/>
        <v>No</v>
      </c>
      <c r="U23" s="105" t="str">
        <f aca="true" t="shared" si="12" ref="U23:U86">IF(C23="No Criteria","No Criteria",IF(D23="N",IF(L23="N","No effluent data &amp; no B",IF(M23="Y","No effluent data &amp; B is ND",IF(O23&gt;C23,"B&gt;C","no effluent data &amp; B&lt;C"))),IF(H23="All ND, MinDL&gt;C, Go to Step 5, &amp; IM",IF(L23="N","MDL&gt;C &amp; No B",IF(M23="Y","Effluent data and B are ND",IF(O23&gt;C23,"B&gt;C","UD; effluent data ND, MDL&gt;C &amp; B&lt;C"))),IF(I23="No Criteria","No Criteria",IF(OR(I23&gt;C23,I23=C23),"MEC&gt;C or MEC=C",IF(M23="N",IF(O23&gt;C23,"B&gt;C","MEC&lt;C &amp; B&lt;C"),"MEC&lt;C &amp; B is ND"))))))</f>
        <v>No effluent data &amp; B is ND</v>
      </c>
      <c r="V23" s="452" t="str">
        <f t="shared" si="11"/>
        <v>No effluent data &amp; B is ND</v>
      </c>
    </row>
    <row r="24" spans="1:22" s="16" customFormat="1" ht="15">
      <c r="A24" s="6">
        <v>19</v>
      </c>
      <c r="B24" s="28" t="s">
        <v>32</v>
      </c>
      <c r="C24" s="261">
        <f>Criteria!C30</f>
        <v>71</v>
      </c>
      <c r="D24" s="100" t="str">
        <f>'data input for RPA'!C30</f>
        <v>Y</v>
      </c>
      <c r="E24" s="100" t="str">
        <f>IF('data input for RPA'!D30="","",'data input for RPA'!D30)</f>
        <v>Y</v>
      </c>
      <c r="F24" s="396">
        <f>IF('data input for RPA'!E30="","",'data input for RPA'!E30)</f>
        <v>0.15</v>
      </c>
      <c r="G24" s="396">
        <f>IF('data input for RPA'!F30="","",'data input for RPA'!F30)</f>
      </c>
      <c r="H24" s="9" t="str">
        <f aca="true" t="shared" si="13" ref="H24:H29">IF(C24="No Criteria","No Criteria",IF(D24="N","No effluent data",IF(E24="N","",IF(F24&lt;C24,"All ND, MDL&lt;C, MEC=MDL","All ND, MinDL&gt;C, Go to Step 5, &amp; IM"))))</f>
        <v>All ND, MDL&lt;C, MEC=MDL</v>
      </c>
      <c r="I24" s="101">
        <f aca="true" t="shared" si="14" ref="I24:I29">IF(C24="No Criteria","No Criteria",IF(D24="N","",IF(E24="N",G24,IF(H24="All ND, MDL&lt;C, MEC=MDL",F24,""))))</f>
        <v>0.15</v>
      </c>
      <c r="J24" s="101" t="str">
        <f aca="true" t="shared" si="15" ref="J24:J29">IF(C24="No Criteria","No Criteria",IF(I24="","",IF(I24&gt;=C24,"MEC&gt;=C, Effluent Limits Required","MEC&lt;C, go to Step 5")))</f>
        <v>MEC&lt;C, go to Step 5</v>
      </c>
      <c r="K24" s="448"/>
      <c r="L24" s="417" t="str">
        <f>IF('data input for RPA'!I30="","",'data input for RPA'!I30)</f>
        <v>Y</v>
      </c>
      <c r="M24" s="417" t="str">
        <f>IF('data input for RPA'!J30="","",'data input for RPA'!J30)</f>
        <v>Y</v>
      </c>
      <c r="N24" s="434">
        <f>IF('data input for RPA'!K30="","",'data input for RPA'!K30)</f>
        <v>0.15</v>
      </c>
      <c r="O24" s="435">
        <f>IF('data input for RPA'!L30="","",'data input for RPA'!L30)</f>
      </c>
      <c r="P24" s="431" t="str">
        <f t="shared" si="6"/>
        <v>N</v>
      </c>
      <c r="Q24" s="468" t="str">
        <f t="shared" si="9"/>
        <v>No detected value of B, Step 7</v>
      </c>
      <c r="R24" s="417">
        <f>'data input for RPA'!O30</f>
      </c>
      <c r="S24" s="407" t="str">
        <f t="shared" si="7"/>
        <v>No</v>
      </c>
      <c r="T24" s="465" t="str">
        <f t="shared" si="10"/>
        <v>No</v>
      </c>
      <c r="U24" s="105" t="str">
        <f t="shared" si="12"/>
        <v>MEC&lt;C &amp; B is ND</v>
      </c>
      <c r="V24" s="452" t="str">
        <f t="shared" si="11"/>
        <v>MEC&lt;C &amp; B is ND</v>
      </c>
    </row>
    <row r="25" spans="1:22" ht="15">
      <c r="A25" s="6">
        <v>20</v>
      </c>
      <c r="B25" s="7" t="s">
        <v>33</v>
      </c>
      <c r="C25" s="261">
        <f>Criteria!C31</f>
        <v>360</v>
      </c>
      <c r="D25" s="100" t="str">
        <f>'data input for RPA'!C31</f>
        <v>Y</v>
      </c>
      <c r="E25" s="100" t="str">
        <f>IF('data input for RPA'!D31="","",'data input for RPA'!D31)</f>
        <v>Y</v>
      </c>
      <c r="F25" s="396">
        <f>IF('data input for RPA'!E31="","",'data input for RPA'!E31)</f>
        <v>0.33</v>
      </c>
      <c r="G25" s="396">
        <f>IF('data input for RPA'!F31="","",'data input for RPA'!F31)</f>
      </c>
      <c r="H25" s="9" t="str">
        <f t="shared" si="13"/>
        <v>All ND, MDL&lt;C, MEC=MDL</v>
      </c>
      <c r="I25" s="101">
        <f t="shared" si="14"/>
        <v>0.33</v>
      </c>
      <c r="J25" s="101" t="str">
        <f t="shared" si="15"/>
        <v>MEC&lt;C, go to Step 5</v>
      </c>
      <c r="K25" s="448"/>
      <c r="L25" s="417" t="str">
        <f>IF('data input for RPA'!I31="","",'data input for RPA'!I31)</f>
        <v>Y</v>
      </c>
      <c r="M25" s="417" t="str">
        <f>IF('data input for RPA'!J31="","",'data input for RPA'!J31)</f>
        <v>Y</v>
      </c>
      <c r="N25" s="434">
        <f>IF('data input for RPA'!K31="","",'data input for RPA'!K31)</f>
        <v>0.33</v>
      </c>
      <c r="O25" s="435">
        <f>IF('data input for RPA'!L31="","",'data input for RPA'!L31)</f>
      </c>
      <c r="P25" s="431" t="str">
        <f t="shared" si="6"/>
        <v>N</v>
      </c>
      <c r="Q25" s="468" t="str">
        <f t="shared" si="9"/>
        <v>No detected value of B, Step 7</v>
      </c>
      <c r="R25" s="417">
        <f>'data input for RPA'!O31</f>
      </c>
      <c r="S25" s="407" t="str">
        <f t="shared" si="7"/>
        <v>No</v>
      </c>
      <c r="T25" s="465" t="str">
        <f t="shared" si="10"/>
        <v>No</v>
      </c>
      <c r="U25" s="105" t="str">
        <f t="shared" si="12"/>
        <v>MEC&lt;C &amp; B is ND</v>
      </c>
      <c r="V25" s="452" t="str">
        <f t="shared" si="11"/>
        <v>MEC&lt;C &amp; B is ND</v>
      </c>
    </row>
    <row r="26" spans="1:22" ht="15">
      <c r="A26" s="6">
        <v>21</v>
      </c>
      <c r="B26" s="7" t="s">
        <v>34</v>
      </c>
      <c r="C26" s="261">
        <f>Criteria!C32</f>
        <v>4.4</v>
      </c>
      <c r="D26" s="100" t="str">
        <f>'data input for RPA'!C32</f>
        <v>Y</v>
      </c>
      <c r="E26" s="100" t="str">
        <f>IF('data input for RPA'!D32="","",'data input for RPA'!D32)</f>
        <v>Y</v>
      </c>
      <c r="F26" s="396">
        <f>IF('data input for RPA'!E32="","",'data input for RPA'!E32)</f>
        <v>0.48</v>
      </c>
      <c r="G26" s="396">
        <f>IF('data input for RPA'!F32="","",'data input for RPA'!F32)</f>
      </c>
      <c r="H26" s="9" t="str">
        <f t="shared" si="13"/>
        <v>All ND, MDL&lt;C, MEC=MDL</v>
      </c>
      <c r="I26" s="101">
        <f t="shared" si="14"/>
        <v>0.48</v>
      </c>
      <c r="J26" s="101" t="str">
        <f t="shared" si="15"/>
        <v>MEC&lt;C, go to Step 5</v>
      </c>
      <c r="K26" s="448"/>
      <c r="L26" s="417" t="str">
        <f>IF('data input for RPA'!I32="","",'data input for RPA'!I32)</f>
        <v>Y</v>
      </c>
      <c r="M26" s="417" t="str">
        <f>IF('data input for RPA'!J32="","",'data input for RPA'!J32)</f>
        <v>Y</v>
      </c>
      <c r="N26" s="434">
        <f>IF('data input for RPA'!K32="","",'data input for RPA'!K32)</f>
        <v>0.48</v>
      </c>
      <c r="O26" s="435">
        <f>IF('data input for RPA'!L32="","",'data input for RPA'!L32)</f>
      </c>
      <c r="P26" s="431" t="str">
        <f t="shared" si="6"/>
        <v>N</v>
      </c>
      <c r="Q26" s="468" t="str">
        <f t="shared" si="9"/>
        <v>No detected value of B, Step 7</v>
      </c>
      <c r="R26" s="417">
        <f>'data input for RPA'!O32</f>
      </c>
      <c r="S26" s="407" t="str">
        <f t="shared" si="7"/>
        <v>No</v>
      </c>
      <c r="T26" s="465" t="str">
        <f t="shared" si="10"/>
        <v>No</v>
      </c>
      <c r="U26" s="105" t="str">
        <f t="shared" si="12"/>
        <v>MEC&lt;C &amp; B is ND</v>
      </c>
      <c r="V26" s="452" t="str">
        <f t="shared" si="11"/>
        <v>MEC&lt;C &amp; B is ND</v>
      </c>
    </row>
    <row r="27" spans="1:22" ht="15">
      <c r="A27" s="6">
        <v>22</v>
      </c>
      <c r="B27" s="7" t="s">
        <v>35</v>
      </c>
      <c r="C27" s="261">
        <f>Criteria!C33</f>
        <v>21000</v>
      </c>
      <c r="D27" s="100" t="str">
        <f>'data input for RPA'!C33</f>
        <v>Y</v>
      </c>
      <c r="E27" s="100" t="str">
        <f>IF('data input for RPA'!D33="","",'data input for RPA'!D33)</f>
        <v>Y</v>
      </c>
      <c r="F27" s="396">
        <f>IF('data input for RPA'!E33="","",'data input for RPA'!E33)</f>
        <v>0.13</v>
      </c>
      <c r="G27" s="396">
        <f>IF('data input for RPA'!F33="","",'data input for RPA'!F33)</f>
      </c>
      <c r="H27" s="9" t="str">
        <f t="shared" si="13"/>
        <v>All ND, MDL&lt;C, MEC=MDL</v>
      </c>
      <c r="I27" s="101">
        <f t="shared" si="14"/>
        <v>0.13</v>
      </c>
      <c r="J27" s="101" t="str">
        <f t="shared" si="15"/>
        <v>MEC&lt;C, go to Step 5</v>
      </c>
      <c r="K27" s="448"/>
      <c r="L27" s="417" t="str">
        <f>IF('data input for RPA'!I33="","",'data input for RPA'!I33)</f>
        <v>Y</v>
      </c>
      <c r="M27" s="417" t="str">
        <f>IF('data input for RPA'!J33="","",'data input for RPA'!J33)</f>
        <v>Y</v>
      </c>
      <c r="N27" s="434">
        <f>IF('data input for RPA'!K33="","",'data input for RPA'!K33)</f>
        <v>0.13</v>
      </c>
      <c r="O27" s="435">
        <f>IF('data input for RPA'!L33="","",'data input for RPA'!L33)</f>
      </c>
      <c r="P27" s="431" t="str">
        <f t="shared" si="6"/>
        <v>N</v>
      </c>
      <c r="Q27" s="468" t="str">
        <f t="shared" si="9"/>
        <v>No detected value of B, Step 7</v>
      </c>
      <c r="R27" s="417">
        <f>'data input for RPA'!O33</f>
      </c>
      <c r="S27" s="407" t="str">
        <f t="shared" si="7"/>
        <v>No</v>
      </c>
      <c r="T27" s="465" t="str">
        <f t="shared" si="10"/>
        <v>No</v>
      </c>
      <c r="U27" s="105" t="str">
        <f t="shared" si="12"/>
        <v>MEC&lt;C &amp; B is ND</v>
      </c>
      <c r="V27" s="452" t="str">
        <f t="shared" si="11"/>
        <v>MEC&lt;C &amp; B is ND</v>
      </c>
    </row>
    <row r="28" spans="1:22" s="257" customFormat="1" ht="15">
      <c r="A28" s="264">
        <v>23</v>
      </c>
      <c r="B28" s="255" t="s">
        <v>36</v>
      </c>
      <c r="C28" s="261">
        <f>Criteria!C34</f>
        <v>34</v>
      </c>
      <c r="D28" s="100" t="str">
        <f>'data input for RPA'!C34</f>
        <v>Y</v>
      </c>
      <c r="E28" s="100" t="str">
        <f>IF('data input for RPA'!D34="","",'data input for RPA'!D34)</f>
        <v>Y</v>
      </c>
      <c r="F28" s="396">
        <f>IF('data input for RPA'!E34="","",'data input for RPA'!E34)</f>
        <v>0.36</v>
      </c>
      <c r="G28" s="396">
        <f>IF('data input for RPA'!F34="","",'data input for RPA'!F34)</f>
      </c>
      <c r="H28" s="9" t="str">
        <f t="shared" si="13"/>
        <v>All ND, MDL&lt;C, MEC=MDL</v>
      </c>
      <c r="I28" s="101">
        <f t="shared" si="14"/>
        <v>0.36</v>
      </c>
      <c r="J28" s="101" t="str">
        <f t="shared" si="15"/>
        <v>MEC&lt;C, go to Step 5</v>
      </c>
      <c r="K28" s="450"/>
      <c r="L28" s="419" t="str">
        <f>IF('data input for RPA'!I34="","",'data input for RPA'!I34)</f>
        <v>Y</v>
      </c>
      <c r="M28" s="419" t="str">
        <f>IF('data input for RPA'!J34="","",'data input for RPA'!J34)</f>
        <v>N</v>
      </c>
      <c r="N28" s="434">
        <f>IF('data input for RPA'!K34="","",'data input for RPA'!K34)</f>
      </c>
      <c r="O28" s="435">
        <f>IF('data input for RPA'!L34="","",'data input for RPA'!L34)</f>
        <v>0.25</v>
      </c>
      <c r="P28" s="433">
        <f t="shared" si="6"/>
      </c>
      <c r="Q28" s="468" t="str">
        <f t="shared" si="9"/>
        <v>B&lt;C, Step 7</v>
      </c>
      <c r="R28" s="419">
        <f>'data input for RPA'!O34</f>
      </c>
      <c r="S28" s="407" t="str">
        <f t="shared" si="7"/>
        <v>No</v>
      </c>
      <c r="T28" s="465" t="str">
        <f t="shared" si="10"/>
        <v>No</v>
      </c>
      <c r="U28" s="105" t="str">
        <f t="shared" si="12"/>
        <v>MEC&lt;C &amp; B&lt;C</v>
      </c>
      <c r="V28" s="452" t="str">
        <f t="shared" si="11"/>
        <v>MEC&lt;C &amp; B&lt;C</v>
      </c>
    </row>
    <row r="29" spans="1:22" ht="15">
      <c r="A29" s="6">
        <v>24</v>
      </c>
      <c r="B29" s="7" t="s">
        <v>37</v>
      </c>
      <c r="C29" s="261" t="str">
        <f>Criteria!C35</f>
        <v>No Criteria</v>
      </c>
      <c r="D29" s="100" t="str">
        <f>'data input for RPA'!C35</f>
        <v>Y</v>
      </c>
      <c r="E29" s="100" t="str">
        <f>IF('data input for RPA'!D35="","",'data input for RPA'!D35)</f>
        <v>Y</v>
      </c>
      <c r="F29" s="396">
        <f>IF('data input for RPA'!E35="","",'data input for RPA'!E35)</f>
        <v>0.23</v>
      </c>
      <c r="G29" s="396">
        <f>IF('data input for RPA'!F35="","",'data input for RPA'!F35)</f>
      </c>
      <c r="H29" s="9" t="str">
        <f t="shared" si="13"/>
        <v>No Criteria</v>
      </c>
      <c r="I29" s="101" t="str">
        <f t="shared" si="14"/>
        <v>No Criteria</v>
      </c>
      <c r="J29" s="101" t="str">
        <f t="shared" si="15"/>
        <v>No Criteria</v>
      </c>
      <c r="K29" s="448"/>
      <c r="L29" s="417" t="str">
        <f>IF('data input for RPA'!I35="","",'data input for RPA'!I35)</f>
        <v>Y</v>
      </c>
      <c r="M29" s="417" t="str">
        <f>IF('data input for RPA'!J35="","",'data input for RPA'!J35)</f>
        <v>Y</v>
      </c>
      <c r="N29" s="434">
        <f>IF('data input for RPA'!K35="","",'data input for RPA'!K35)</f>
        <v>0.29</v>
      </c>
      <c r="O29" s="435">
        <f>IF('data input for RPA'!L35="","",'data input for RPA'!L35)</f>
      </c>
      <c r="P29" s="431" t="str">
        <f t="shared" si="6"/>
        <v>N</v>
      </c>
      <c r="Q29" s="468" t="str">
        <f t="shared" si="9"/>
        <v>No Criteria</v>
      </c>
      <c r="R29" s="417" t="str">
        <f>'data input for RPA'!O35</f>
        <v>No Criteria</v>
      </c>
      <c r="S29" s="407" t="str">
        <f t="shared" si="7"/>
        <v>Uo</v>
      </c>
      <c r="T29" s="465" t="str">
        <f t="shared" si="10"/>
        <v>Uo</v>
      </c>
      <c r="U29" s="105" t="str">
        <f t="shared" si="12"/>
        <v>No Criteria</v>
      </c>
      <c r="V29" s="452" t="str">
        <f t="shared" si="11"/>
        <v>No Criteria</v>
      </c>
    </row>
    <row r="30" spans="1:22" ht="15">
      <c r="A30" s="6">
        <v>25</v>
      </c>
      <c r="B30" s="7" t="s">
        <v>38</v>
      </c>
      <c r="C30" s="261" t="str">
        <f>Criteria!C36</f>
        <v>No Criteria</v>
      </c>
      <c r="D30" s="100" t="str">
        <f>'data input for RPA'!C36</f>
        <v>N</v>
      </c>
      <c r="E30" s="100">
        <f>IF('data input for RPA'!D36="","",'data input for RPA'!D36)</f>
      </c>
      <c r="F30" s="396">
        <f>IF('data input for RPA'!E36="","",'data input for RPA'!E36)</f>
      </c>
      <c r="G30" s="396">
        <f>IF('data input for RPA'!F36="","",'data input for RPA'!F36)</f>
      </c>
      <c r="H30" s="9" t="str">
        <f t="shared" si="3"/>
        <v>No Criteria</v>
      </c>
      <c r="I30" s="101" t="str">
        <f t="shared" si="4"/>
        <v>No Criteria</v>
      </c>
      <c r="J30" s="101" t="str">
        <f t="shared" si="5"/>
        <v>No Criteria</v>
      </c>
      <c r="K30" s="448"/>
      <c r="L30" s="417" t="str">
        <f>IF('data input for RPA'!I36="","",'data input for RPA'!I36)</f>
        <v>Y</v>
      </c>
      <c r="M30" s="417" t="str">
        <f>IF('data input for RPA'!J36="","",'data input for RPA'!J36)</f>
        <v>Y</v>
      </c>
      <c r="N30" s="434">
        <f>IF('data input for RPA'!K36="","",'data input for RPA'!K36)</f>
        <v>0.5</v>
      </c>
      <c r="O30" s="435">
        <f>IF('data input for RPA'!L36="","",'data input for RPA'!L36)</f>
      </c>
      <c r="P30" s="431" t="str">
        <f t="shared" si="6"/>
        <v>N</v>
      </c>
      <c r="Q30" s="468" t="str">
        <f t="shared" si="9"/>
        <v>No Criteria</v>
      </c>
      <c r="R30" s="417" t="str">
        <f>'data input for RPA'!O36</f>
        <v>No Criteria</v>
      </c>
      <c r="S30" s="407" t="str">
        <f t="shared" si="7"/>
        <v>Uo</v>
      </c>
      <c r="T30" s="465" t="str">
        <f t="shared" si="10"/>
        <v>Uo</v>
      </c>
      <c r="U30" s="105" t="str">
        <f t="shared" si="12"/>
        <v>No Criteria</v>
      </c>
      <c r="V30" s="452" t="str">
        <f t="shared" si="11"/>
        <v>No Criteria</v>
      </c>
    </row>
    <row r="31" spans="1:22" ht="15">
      <c r="A31" s="6">
        <v>26</v>
      </c>
      <c r="B31" s="7" t="s">
        <v>39</v>
      </c>
      <c r="C31" s="261" t="str">
        <f>Criteria!C37</f>
        <v>No Criteria</v>
      </c>
      <c r="D31" s="100" t="str">
        <f>'data input for RPA'!C37</f>
        <v>Y</v>
      </c>
      <c r="E31" s="100" t="str">
        <f>IF('data input for RPA'!D37="","",'data input for RPA'!D37)</f>
        <v>N</v>
      </c>
      <c r="F31" s="396">
        <f>IF('data input for RPA'!E37="","",'data input for RPA'!E37)</f>
      </c>
      <c r="G31" s="396">
        <f>IF('data input for RPA'!F37="","",'data input for RPA'!F37)</f>
        <v>19</v>
      </c>
      <c r="H31" s="9" t="str">
        <f t="shared" si="3"/>
        <v>No Criteria</v>
      </c>
      <c r="I31" s="101" t="str">
        <f t="shared" si="4"/>
        <v>No Criteria</v>
      </c>
      <c r="J31" s="101" t="str">
        <f t="shared" si="5"/>
        <v>No Criteria</v>
      </c>
      <c r="K31" s="448"/>
      <c r="L31" s="417" t="str">
        <f>IF('data input for RPA'!I37="","",'data input for RPA'!I37)</f>
        <v>Y</v>
      </c>
      <c r="M31" s="417" t="str">
        <f>IF('data input for RPA'!J37="","",'data input for RPA'!J37)</f>
        <v>N</v>
      </c>
      <c r="N31" s="434">
        <f>IF('data input for RPA'!K37="","",'data input for RPA'!K37)</f>
      </c>
      <c r="O31" s="435">
        <f>IF('data input for RPA'!L37="","",'data input for RPA'!L37)</f>
        <v>22</v>
      </c>
      <c r="P31" s="431">
        <f t="shared" si="6"/>
      </c>
      <c r="Q31" s="468" t="str">
        <f t="shared" si="9"/>
        <v>No Criteria</v>
      </c>
      <c r="R31" s="417" t="str">
        <f>'data input for RPA'!O37</f>
        <v>No Criteria</v>
      </c>
      <c r="S31" s="407" t="str">
        <f t="shared" si="7"/>
        <v>Uo</v>
      </c>
      <c r="T31" s="465" t="str">
        <f t="shared" si="10"/>
        <v>Uo</v>
      </c>
      <c r="U31" s="105" t="str">
        <f t="shared" si="12"/>
        <v>No Criteria</v>
      </c>
      <c r="V31" s="452" t="str">
        <f t="shared" si="11"/>
        <v>No Criteria</v>
      </c>
    </row>
    <row r="32" spans="1:22" ht="15">
      <c r="A32" s="6">
        <v>27</v>
      </c>
      <c r="B32" s="7" t="s">
        <v>40</v>
      </c>
      <c r="C32" s="261">
        <f>Criteria!C38</f>
        <v>46</v>
      </c>
      <c r="D32" s="100" t="str">
        <f>'data input for RPA'!C38</f>
        <v>Y</v>
      </c>
      <c r="E32" s="100" t="str">
        <f>IF('data input for RPA'!D38="","",'data input for RPA'!D38)</f>
        <v>N</v>
      </c>
      <c r="F32" s="396">
        <f>IF('data input for RPA'!E38="","",'data input for RPA'!E38)</f>
      </c>
      <c r="G32" s="396">
        <f>IF('data input for RPA'!F38="","",'data input for RPA'!F38)</f>
        <v>1.9</v>
      </c>
      <c r="H32" s="9">
        <f t="shared" si="3"/>
      </c>
      <c r="I32" s="101">
        <f t="shared" si="4"/>
        <v>1.9</v>
      </c>
      <c r="J32" s="101" t="str">
        <f t="shared" si="5"/>
        <v>MEC&lt;C, go to Step 5</v>
      </c>
      <c r="K32" s="448"/>
      <c r="L32" s="417" t="str">
        <f>IF('data input for RPA'!I38="","",'data input for RPA'!I38)</f>
        <v>Y</v>
      </c>
      <c r="M32" s="417" t="str">
        <f>IF('data input for RPA'!J38="","",'data input for RPA'!J38)</f>
        <v>N</v>
      </c>
      <c r="N32" s="434">
        <f>IF('data input for RPA'!K38="","",'data input for RPA'!K38)</f>
      </c>
      <c r="O32" s="435">
        <f>IF('data input for RPA'!L38="","",'data input for RPA'!L38)</f>
        <v>1.9</v>
      </c>
      <c r="P32" s="431">
        <f t="shared" si="6"/>
      </c>
      <c r="Q32" s="468" t="str">
        <f t="shared" si="9"/>
        <v>B&lt;C, Step 7</v>
      </c>
      <c r="R32" s="417">
        <f>'data input for RPA'!O38</f>
      </c>
      <c r="S32" s="407" t="str">
        <f t="shared" si="7"/>
        <v>No</v>
      </c>
      <c r="T32" s="465" t="str">
        <f t="shared" si="10"/>
        <v>No</v>
      </c>
      <c r="U32" s="105" t="str">
        <f t="shared" si="12"/>
        <v>MEC&lt;C &amp; B&lt;C</v>
      </c>
      <c r="V32" s="452" t="str">
        <f t="shared" si="11"/>
        <v>MEC&lt;C &amp; B&lt;C</v>
      </c>
    </row>
    <row r="33" spans="1:22" ht="15">
      <c r="A33" s="6">
        <v>28</v>
      </c>
      <c r="B33" s="7" t="s">
        <v>41</v>
      </c>
      <c r="C33" s="261" t="str">
        <f>Criteria!C39</f>
        <v>No Criteria</v>
      </c>
      <c r="D33" s="100" t="str">
        <f>'data input for RPA'!C39</f>
        <v>Y</v>
      </c>
      <c r="E33" s="100" t="str">
        <f>IF('data input for RPA'!D39="","",'data input for RPA'!D39)</f>
        <v>Y</v>
      </c>
      <c r="F33" s="396">
        <f>IF('data input for RPA'!E39="","",'data input for RPA'!E39)</f>
        <v>0.28</v>
      </c>
      <c r="G33" s="396">
        <f>IF('data input for RPA'!F39="","",'data input for RPA'!F39)</f>
      </c>
      <c r="H33" s="9" t="str">
        <f t="shared" si="3"/>
        <v>No Criteria</v>
      </c>
      <c r="I33" s="101" t="str">
        <f t="shared" si="4"/>
        <v>No Criteria</v>
      </c>
      <c r="J33" s="101" t="str">
        <f t="shared" si="5"/>
        <v>No Criteria</v>
      </c>
      <c r="K33" s="448"/>
      <c r="L33" s="417" t="str">
        <f>IF('data input for RPA'!I39="","",'data input for RPA'!I39)</f>
        <v>Y</v>
      </c>
      <c r="M33" s="417" t="str">
        <f>IF('data input for RPA'!J39="","",'data input for RPA'!J39)</f>
        <v>Y</v>
      </c>
      <c r="N33" s="434">
        <f>IF('data input for RPA'!K39="","",'data input for RPA'!K39)</f>
        <v>0.28</v>
      </c>
      <c r="O33" s="435">
        <f>IF('data input for RPA'!L39="","",'data input for RPA'!L39)</f>
      </c>
      <c r="P33" s="431" t="str">
        <f t="shared" si="6"/>
        <v>N</v>
      </c>
      <c r="Q33" s="468" t="str">
        <f t="shared" si="9"/>
        <v>No Criteria</v>
      </c>
      <c r="R33" s="417" t="str">
        <f>'data input for RPA'!O39</f>
        <v>No Criteria</v>
      </c>
      <c r="S33" s="407" t="str">
        <f t="shared" si="7"/>
        <v>Uo</v>
      </c>
      <c r="T33" s="465" t="str">
        <f t="shared" si="10"/>
        <v>Uo</v>
      </c>
      <c r="U33" s="105" t="str">
        <f t="shared" si="12"/>
        <v>No Criteria</v>
      </c>
      <c r="V33" s="452" t="str">
        <f t="shared" si="11"/>
        <v>No Criteria</v>
      </c>
    </row>
    <row r="34" spans="1:22" ht="15">
      <c r="A34" s="6">
        <v>29</v>
      </c>
      <c r="B34" s="7" t="s">
        <v>42</v>
      </c>
      <c r="C34" s="261">
        <f>Criteria!C40</f>
        <v>99</v>
      </c>
      <c r="D34" s="100" t="str">
        <f>'data input for RPA'!C40</f>
        <v>Y</v>
      </c>
      <c r="E34" s="100" t="str">
        <f>IF('data input for RPA'!D40="","",'data input for RPA'!D40)</f>
        <v>Y</v>
      </c>
      <c r="F34" s="396">
        <f>IF('data input for RPA'!E40="","",'data input for RPA'!E40)</f>
        <v>0.24</v>
      </c>
      <c r="G34" s="396">
        <f>IF('data input for RPA'!F40="","",'data input for RPA'!F40)</f>
      </c>
      <c r="H34" s="9" t="str">
        <f t="shared" si="3"/>
        <v>All ND, MDL&lt;C, MEC=MDL</v>
      </c>
      <c r="I34" s="101">
        <f t="shared" si="4"/>
        <v>0.24</v>
      </c>
      <c r="J34" s="101" t="str">
        <f t="shared" si="5"/>
        <v>MEC&lt;C, go to Step 5</v>
      </c>
      <c r="K34" s="448"/>
      <c r="L34" s="417" t="str">
        <f>IF('data input for RPA'!I40="","",'data input for RPA'!I40)</f>
        <v>Y</v>
      </c>
      <c r="M34" s="417" t="str">
        <f>IF('data input for RPA'!J40="","",'data input for RPA'!J40)</f>
        <v>Y</v>
      </c>
      <c r="N34" s="434">
        <f>IF('data input for RPA'!K40="","",'data input for RPA'!K40)</f>
        <v>0.24</v>
      </c>
      <c r="O34" s="435">
        <f>IF('data input for RPA'!L40="","",'data input for RPA'!L40)</f>
      </c>
      <c r="P34" s="431" t="str">
        <f t="shared" si="6"/>
        <v>N</v>
      </c>
      <c r="Q34" s="468" t="str">
        <f t="shared" si="9"/>
        <v>No detected value of B, Step 7</v>
      </c>
      <c r="R34" s="417">
        <f>'data input for RPA'!O40</f>
      </c>
      <c r="S34" s="407" t="str">
        <f t="shared" si="7"/>
        <v>No</v>
      </c>
      <c r="T34" s="465" t="str">
        <f t="shared" si="10"/>
        <v>No</v>
      </c>
      <c r="U34" s="105" t="str">
        <f t="shared" si="12"/>
        <v>MEC&lt;C &amp; B is ND</v>
      </c>
      <c r="V34" s="452" t="str">
        <f t="shared" si="11"/>
        <v>MEC&lt;C &amp; B is ND</v>
      </c>
    </row>
    <row r="35" spans="1:22" ht="15">
      <c r="A35" s="6">
        <v>30</v>
      </c>
      <c r="B35" s="7" t="s">
        <v>43</v>
      </c>
      <c r="C35" s="261">
        <f>Criteria!C41</f>
        <v>3.2</v>
      </c>
      <c r="D35" s="100" t="str">
        <f>'data input for RPA'!C41</f>
        <v>Y</v>
      </c>
      <c r="E35" s="100" t="str">
        <f>IF('data input for RPA'!D41="","",'data input for RPA'!D41)</f>
        <v>Y</v>
      </c>
      <c r="F35" s="396">
        <f>IF('data input for RPA'!E41="","",'data input for RPA'!E41)</f>
        <v>0.3</v>
      </c>
      <c r="G35" s="396">
        <f>IF('data input for RPA'!F41="","",'data input for RPA'!F41)</f>
      </c>
      <c r="H35" s="9" t="str">
        <f t="shared" si="3"/>
        <v>All ND, MDL&lt;C, MEC=MDL</v>
      </c>
      <c r="I35" s="101">
        <f t="shared" si="4"/>
        <v>0.3</v>
      </c>
      <c r="J35" s="101" t="str">
        <f t="shared" si="5"/>
        <v>MEC&lt;C, go to Step 5</v>
      </c>
      <c r="K35" s="448"/>
      <c r="L35" s="417" t="str">
        <f>IF('data input for RPA'!I41="","",'data input for RPA'!I41)</f>
        <v>Y</v>
      </c>
      <c r="M35" s="417" t="str">
        <f>IF('data input for RPA'!J41="","",'data input for RPA'!J41)</f>
        <v>Y</v>
      </c>
      <c r="N35" s="434">
        <f>IF('data input for RPA'!K41="","",'data input for RPA'!K41)</f>
        <v>0.3</v>
      </c>
      <c r="O35" s="435">
        <f>IF('data input for RPA'!L41="","",'data input for RPA'!L41)</f>
      </c>
      <c r="P35" s="431" t="str">
        <f t="shared" si="6"/>
        <v>N</v>
      </c>
      <c r="Q35" s="468" t="str">
        <f t="shared" si="9"/>
        <v>No detected value of B, Step 7</v>
      </c>
      <c r="R35" s="417">
        <f>'data input for RPA'!O41</f>
      </c>
      <c r="S35" s="407" t="str">
        <f t="shared" si="7"/>
        <v>No</v>
      </c>
      <c r="T35" s="465" t="str">
        <f t="shared" si="10"/>
        <v>No</v>
      </c>
      <c r="U35" s="105" t="str">
        <f t="shared" si="12"/>
        <v>MEC&lt;C &amp; B is ND</v>
      </c>
      <c r="V35" s="452" t="str">
        <f t="shared" si="11"/>
        <v>MEC&lt;C &amp; B is ND</v>
      </c>
    </row>
    <row r="36" spans="1:22" ht="15">
      <c r="A36" s="6">
        <v>31</v>
      </c>
      <c r="B36" s="7" t="s">
        <v>44</v>
      </c>
      <c r="C36" s="261">
        <f>Criteria!C42</f>
        <v>39</v>
      </c>
      <c r="D36" s="100" t="str">
        <f>'data input for RPA'!C42</f>
        <v>Y</v>
      </c>
      <c r="E36" s="100" t="str">
        <f>IF('data input for RPA'!D42="","",'data input for RPA'!D42)</f>
        <v>Y</v>
      </c>
      <c r="F36" s="396">
        <f>IF('data input for RPA'!E42="","",'data input for RPA'!E42)</f>
        <v>0.16</v>
      </c>
      <c r="G36" s="396">
        <f>IF('data input for RPA'!F42="","",'data input for RPA'!F42)</f>
      </c>
      <c r="H36" s="9" t="str">
        <f t="shared" si="3"/>
        <v>All ND, MDL&lt;C, MEC=MDL</v>
      </c>
      <c r="I36" s="101">
        <f t="shared" si="4"/>
        <v>0.16</v>
      </c>
      <c r="J36" s="101" t="str">
        <f t="shared" si="5"/>
        <v>MEC&lt;C, go to Step 5</v>
      </c>
      <c r="K36" s="448"/>
      <c r="L36" s="417" t="str">
        <f>IF('data input for RPA'!I42="","",'data input for RPA'!I42)</f>
        <v>Y</v>
      </c>
      <c r="M36" s="417" t="str">
        <f>IF('data input for RPA'!J42="","",'data input for RPA'!J42)</f>
        <v>Y</v>
      </c>
      <c r="N36" s="434">
        <f>IF('data input for RPA'!K42="","",'data input for RPA'!K42)</f>
        <v>0.5</v>
      </c>
      <c r="O36" s="435">
        <f>IF('data input for RPA'!L42="","",'data input for RPA'!L42)</f>
      </c>
      <c r="P36" s="431" t="str">
        <f t="shared" si="6"/>
        <v>N</v>
      </c>
      <c r="Q36" s="468" t="str">
        <f t="shared" si="9"/>
        <v>No detected value of B, Step 7</v>
      </c>
      <c r="R36" s="417">
        <f>'data input for RPA'!O42</f>
      </c>
      <c r="S36" s="407" t="str">
        <f t="shared" si="7"/>
        <v>No</v>
      </c>
      <c r="T36" s="465" t="str">
        <f t="shared" si="10"/>
        <v>No</v>
      </c>
      <c r="U36" s="105" t="str">
        <f t="shared" si="12"/>
        <v>MEC&lt;C &amp; B is ND</v>
      </c>
      <c r="V36" s="452" t="str">
        <f t="shared" si="11"/>
        <v>MEC&lt;C &amp; B is ND</v>
      </c>
    </row>
    <row r="37" spans="1:22" ht="15">
      <c r="A37" s="6">
        <v>32</v>
      </c>
      <c r="B37" s="7" t="s">
        <v>45</v>
      </c>
      <c r="C37" s="261">
        <f>Criteria!C43</f>
        <v>1700</v>
      </c>
      <c r="D37" s="100" t="str">
        <f>'data input for RPA'!C43</f>
        <v>N</v>
      </c>
      <c r="E37" s="100">
        <f>IF('data input for RPA'!D43="","",'data input for RPA'!D43)</f>
      </c>
      <c r="F37" s="396">
        <f>IF('data input for RPA'!E43="","",'data input for RPA'!E43)</f>
      </c>
      <c r="G37" s="396">
        <f>IF('data input for RPA'!F43="","",'data input for RPA'!F43)</f>
      </c>
      <c r="H37" s="9" t="str">
        <f t="shared" si="3"/>
        <v>No effluent data</v>
      </c>
      <c r="I37" s="101">
        <f t="shared" si="4"/>
      </c>
      <c r="J37" s="101">
        <f t="shared" si="5"/>
      </c>
      <c r="K37" s="448"/>
      <c r="L37" s="417" t="str">
        <f>IF('data input for RPA'!I43="","",'data input for RPA'!I43)</f>
        <v>N</v>
      </c>
      <c r="M37" s="417">
        <f>IF('data input for RPA'!J43="","",'data input for RPA'!J43)</f>
      </c>
      <c r="N37" s="434">
        <f>IF('data input for RPA'!K43="","",'data input for RPA'!K43)</f>
      </c>
      <c r="O37" s="435">
        <f>IF('data input for RPA'!L43="","",'data input for RPA'!L43)</f>
      </c>
      <c r="P37" s="431">
        <f t="shared" si="6"/>
      </c>
      <c r="Q37" s="468" t="str">
        <f t="shared" si="9"/>
        <v>No detected value of B, Step 7</v>
      </c>
      <c r="R37" s="417">
        <f>'data input for RPA'!O43</f>
      </c>
      <c r="S37" s="407" t="str">
        <f t="shared" si="7"/>
        <v>Ud</v>
      </c>
      <c r="T37" s="465" t="str">
        <f t="shared" si="10"/>
        <v>Ud</v>
      </c>
      <c r="U37" s="105" t="str">
        <f t="shared" si="12"/>
        <v>No effluent data &amp; no B</v>
      </c>
      <c r="V37" s="452" t="str">
        <f t="shared" si="11"/>
        <v>No effluent data &amp; no B</v>
      </c>
    </row>
    <row r="38" spans="1:22" ht="15">
      <c r="A38" s="6">
        <v>33</v>
      </c>
      <c r="B38" s="7" t="s">
        <v>46</v>
      </c>
      <c r="C38" s="261">
        <f>Criteria!C44</f>
        <v>29000</v>
      </c>
      <c r="D38" s="100" t="str">
        <f>'data input for RPA'!C44</f>
        <v>Y</v>
      </c>
      <c r="E38" s="100" t="str">
        <f>IF('data input for RPA'!D44="","",'data input for RPA'!D44)</f>
        <v>Y</v>
      </c>
      <c r="F38" s="396">
        <f>IF('data input for RPA'!E44="","",'data input for RPA'!E44)</f>
        <v>0.2</v>
      </c>
      <c r="G38" s="396">
        <f>IF('data input for RPA'!F44="","",'data input for RPA'!F44)</f>
      </c>
      <c r="H38" s="9" t="str">
        <f t="shared" si="3"/>
        <v>All ND, MDL&lt;C, MEC=MDL</v>
      </c>
      <c r="I38" s="101">
        <f t="shared" si="4"/>
        <v>0.2</v>
      </c>
      <c r="J38" s="101" t="str">
        <f t="shared" si="5"/>
        <v>MEC&lt;C, go to Step 5</v>
      </c>
      <c r="K38" s="448"/>
      <c r="L38" s="417" t="str">
        <f>IF('data input for RPA'!I44="","",'data input for RPA'!I44)</f>
        <v>Y</v>
      </c>
      <c r="M38" s="417" t="str">
        <f>IF('data input for RPA'!J44="","",'data input for RPA'!J44)</f>
        <v>Y</v>
      </c>
      <c r="N38" s="434">
        <f>IF('data input for RPA'!K44="","",'data input for RPA'!K44)</f>
        <v>0.2</v>
      </c>
      <c r="O38" s="435">
        <f>IF('data input for RPA'!L44="","",'data input for RPA'!L44)</f>
      </c>
      <c r="P38" s="431" t="str">
        <f t="shared" si="6"/>
        <v>N</v>
      </c>
      <c r="Q38" s="468" t="str">
        <f t="shared" si="9"/>
        <v>No detected value of B, Step 7</v>
      </c>
      <c r="R38" s="417">
        <f>'data input for RPA'!O44</f>
      </c>
      <c r="S38" s="407" t="str">
        <f t="shared" si="7"/>
        <v>No</v>
      </c>
      <c r="T38" s="465" t="str">
        <f t="shared" si="10"/>
        <v>No</v>
      </c>
      <c r="U38" s="105" t="str">
        <f t="shared" si="12"/>
        <v>MEC&lt;C &amp; B is ND</v>
      </c>
      <c r="V38" s="452" t="str">
        <f t="shared" si="11"/>
        <v>MEC&lt;C &amp; B is ND</v>
      </c>
    </row>
    <row r="39" spans="1:22" ht="15">
      <c r="A39" s="6">
        <v>34</v>
      </c>
      <c r="B39" s="7" t="s">
        <v>47</v>
      </c>
      <c r="C39" s="261">
        <f>Criteria!C45</f>
        <v>4000</v>
      </c>
      <c r="D39" s="100" t="str">
        <f>'data input for RPA'!C45</f>
        <v>Y</v>
      </c>
      <c r="E39" s="100" t="str">
        <f>IF('data input for RPA'!D45="","",'data input for RPA'!D45)</f>
        <v>Y</v>
      </c>
      <c r="F39" s="396">
        <f>IF('data input for RPA'!E45="","",'data input for RPA'!E45)</f>
        <v>0.4</v>
      </c>
      <c r="G39" s="396">
        <f>IF('data input for RPA'!F45="","",'data input for RPA'!F45)</f>
      </c>
      <c r="H39" s="9" t="str">
        <f t="shared" si="3"/>
        <v>All ND, MDL&lt;C, MEC=MDL</v>
      </c>
      <c r="I39" s="101">
        <f t="shared" si="4"/>
        <v>0.4</v>
      </c>
      <c r="J39" s="101" t="str">
        <f t="shared" si="5"/>
        <v>MEC&lt;C, go to Step 5</v>
      </c>
      <c r="K39" s="448"/>
      <c r="L39" s="417" t="str">
        <f>IF('data input for RPA'!I45="","",'data input for RPA'!I45)</f>
        <v>N</v>
      </c>
      <c r="M39" s="417">
        <f>IF('data input for RPA'!J45="","",'data input for RPA'!J45)</f>
      </c>
      <c r="N39" s="434">
        <f>IF('data input for RPA'!K45="","",'data input for RPA'!K45)</f>
      </c>
      <c r="O39" s="435">
        <f>IF('data input for RPA'!L45="","",'data input for RPA'!L45)</f>
      </c>
      <c r="P39" s="431">
        <f t="shared" si="6"/>
      </c>
      <c r="Q39" s="468" t="str">
        <f t="shared" si="9"/>
        <v>No detected value of B, Step 7</v>
      </c>
      <c r="R39" s="417">
        <f>'data input for RPA'!O45</f>
      </c>
      <c r="S39" s="407" t="str">
        <f t="shared" si="7"/>
        <v>No</v>
      </c>
      <c r="T39" s="465" t="str">
        <f t="shared" si="10"/>
        <v>No</v>
      </c>
      <c r="U39" s="105" t="str">
        <f t="shared" si="12"/>
        <v>MEC&lt;C &amp; B is ND</v>
      </c>
      <c r="V39" s="452" t="str">
        <f t="shared" si="11"/>
        <v>MEC&lt;C &amp; B is ND</v>
      </c>
    </row>
    <row r="40" spans="1:22" ht="15">
      <c r="A40" s="6">
        <v>35</v>
      </c>
      <c r="B40" s="7" t="s">
        <v>48</v>
      </c>
      <c r="C40" s="261" t="str">
        <f>Criteria!C46</f>
        <v>No Criteria</v>
      </c>
      <c r="D40" s="100" t="str">
        <f>'data input for RPA'!C46</f>
        <v>Y</v>
      </c>
      <c r="E40" s="100" t="str">
        <f>IF('data input for RPA'!D46="","",'data input for RPA'!D46)</f>
        <v>Y</v>
      </c>
      <c r="F40" s="396">
        <f>IF('data input for RPA'!E46="","",'data input for RPA'!E46)</f>
        <v>0.34</v>
      </c>
      <c r="G40" s="396">
        <f>IF('data input for RPA'!F46="","",'data input for RPA'!F46)</f>
      </c>
      <c r="H40" s="9" t="str">
        <f t="shared" si="3"/>
        <v>No Criteria</v>
      </c>
      <c r="I40" s="101" t="str">
        <f t="shared" si="4"/>
        <v>No Criteria</v>
      </c>
      <c r="J40" s="101" t="str">
        <f t="shared" si="5"/>
        <v>No Criteria</v>
      </c>
      <c r="K40" s="448"/>
      <c r="L40" s="417" t="str">
        <f>IF('data input for RPA'!I46="","",'data input for RPA'!I46)</f>
        <v>N</v>
      </c>
      <c r="M40" s="417">
        <f>IF('data input for RPA'!J46="","",'data input for RPA'!J46)</f>
      </c>
      <c r="N40" s="434">
        <f>IF('data input for RPA'!K46="","",'data input for RPA'!K46)</f>
      </c>
      <c r="O40" s="435">
        <f>IF('data input for RPA'!L46="","",'data input for RPA'!L46)</f>
      </c>
      <c r="P40" s="431">
        <f t="shared" si="6"/>
      </c>
      <c r="Q40" s="468" t="str">
        <f t="shared" si="9"/>
        <v>No Criteria</v>
      </c>
      <c r="R40" s="417" t="str">
        <f>'data input for RPA'!O46</f>
        <v>No Criteria</v>
      </c>
      <c r="S40" s="407" t="str">
        <f t="shared" si="7"/>
        <v>Uo</v>
      </c>
      <c r="T40" s="465" t="str">
        <f t="shared" si="10"/>
        <v>Uo</v>
      </c>
      <c r="U40" s="105" t="str">
        <f t="shared" si="12"/>
        <v>No Criteria</v>
      </c>
      <c r="V40" s="452" t="str">
        <f t="shared" si="11"/>
        <v>No Criteria</v>
      </c>
    </row>
    <row r="41" spans="1:22" ht="15">
      <c r="A41" s="6">
        <v>36</v>
      </c>
      <c r="B41" s="7" t="s">
        <v>49</v>
      </c>
      <c r="C41" s="261">
        <f>Criteria!C47</f>
        <v>1600</v>
      </c>
      <c r="D41" s="100" t="str">
        <f>'data input for RPA'!C47</f>
        <v>Y</v>
      </c>
      <c r="E41" s="100" t="str">
        <f>IF('data input for RPA'!D47="","",'data input for RPA'!D47)</f>
        <v>Y</v>
      </c>
      <c r="F41" s="396">
        <f>IF('data input for RPA'!E47="","",'data input for RPA'!E47)</f>
        <v>0.88</v>
      </c>
      <c r="G41" s="396">
        <f>IF('data input for RPA'!F47="","",'data input for RPA'!F47)</f>
      </c>
      <c r="H41" s="9" t="str">
        <f t="shared" si="3"/>
        <v>All ND, MDL&lt;C, MEC=MDL</v>
      </c>
      <c r="I41" s="101">
        <f t="shared" si="4"/>
        <v>0.88</v>
      </c>
      <c r="J41" s="101" t="str">
        <f t="shared" si="5"/>
        <v>MEC&lt;C, go to Step 5</v>
      </c>
      <c r="K41" s="448"/>
      <c r="L41" s="417" t="str">
        <f>IF('data input for RPA'!I47="","",'data input for RPA'!I47)</f>
        <v>Y</v>
      </c>
      <c r="M41" s="417" t="str">
        <f>IF('data input for RPA'!J47="","",'data input for RPA'!J47)</f>
        <v>N</v>
      </c>
      <c r="N41" s="434">
        <f>IF('data input for RPA'!K47="","",'data input for RPA'!K47)</f>
      </c>
      <c r="O41" s="435">
        <f>IF('data input for RPA'!L47="","",'data input for RPA'!L47)</f>
        <v>2.1</v>
      </c>
      <c r="P41" s="431">
        <f t="shared" si="6"/>
      </c>
      <c r="Q41" s="468" t="str">
        <f t="shared" si="9"/>
        <v>B&lt;C, Step 7</v>
      </c>
      <c r="R41" s="417">
        <f>'data input for RPA'!O47</f>
      </c>
      <c r="S41" s="407" t="str">
        <f t="shared" si="7"/>
        <v>No</v>
      </c>
      <c r="T41" s="465" t="str">
        <f t="shared" si="10"/>
        <v>No</v>
      </c>
      <c r="U41" s="105" t="str">
        <f t="shared" si="12"/>
        <v>MEC&lt;C &amp; B&lt;C</v>
      </c>
      <c r="V41" s="452" t="str">
        <f t="shared" si="11"/>
        <v>MEC&lt;C &amp; B&lt;C</v>
      </c>
    </row>
    <row r="42" spans="1:22" ht="15">
      <c r="A42" s="6">
        <v>37</v>
      </c>
      <c r="B42" s="7" t="s">
        <v>50</v>
      </c>
      <c r="C42" s="261">
        <f>Criteria!C48</f>
        <v>11</v>
      </c>
      <c r="D42" s="100" t="str">
        <f>'data input for RPA'!C48</f>
        <v>Y</v>
      </c>
      <c r="E42" s="100" t="str">
        <f>IF('data input for RPA'!D48="","",'data input for RPA'!D48)</f>
        <v>Y</v>
      </c>
      <c r="F42" s="396">
        <f>IF('data input for RPA'!E48="","",'data input for RPA'!E48)</f>
        <v>0.16</v>
      </c>
      <c r="G42" s="396">
        <f>IF('data input for RPA'!F48="","",'data input for RPA'!F48)</f>
      </c>
      <c r="H42" s="9" t="str">
        <f t="shared" si="3"/>
        <v>All ND, MDL&lt;C, MEC=MDL</v>
      </c>
      <c r="I42" s="101">
        <f t="shared" si="4"/>
        <v>0.16</v>
      </c>
      <c r="J42" s="101" t="str">
        <f t="shared" si="5"/>
        <v>MEC&lt;C, go to Step 5</v>
      </c>
      <c r="K42" s="448"/>
      <c r="L42" s="417" t="str">
        <f>IF('data input for RPA'!I48="","",'data input for RPA'!I48)</f>
        <v>Y</v>
      </c>
      <c r="M42" s="417" t="str">
        <f>IF('data input for RPA'!J48="","",'data input for RPA'!J48)</f>
        <v>Y</v>
      </c>
      <c r="N42" s="434">
        <f>IF('data input for RPA'!K48="","",'data input for RPA'!K48)</f>
        <v>0.16</v>
      </c>
      <c r="O42" s="435">
        <f>IF('data input for RPA'!L48="","",'data input for RPA'!L48)</f>
      </c>
      <c r="P42" s="431" t="str">
        <f t="shared" si="6"/>
        <v>N</v>
      </c>
      <c r="Q42" s="468" t="str">
        <f t="shared" si="9"/>
        <v>No detected value of B, Step 7</v>
      </c>
      <c r="R42" s="417">
        <f>'data input for RPA'!O48</f>
      </c>
      <c r="S42" s="407" t="str">
        <f t="shared" si="7"/>
        <v>No</v>
      </c>
      <c r="T42" s="465" t="str">
        <f t="shared" si="10"/>
        <v>No</v>
      </c>
      <c r="U42" s="105" t="str">
        <f t="shared" si="12"/>
        <v>MEC&lt;C &amp; B is ND</v>
      </c>
      <c r="V42" s="452" t="str">
        <f t="shared" si="11"/>
        <v>MEC&lt;C &amp; B is ND</v>
      </c>
    </row>
    <row r="43" spans="1:22" ht="15">
      <c r="A43" s="6">
        <v>38</v>
      </c>
      <c r="B43" s="7" t="s">
        <v>51</v>
      </c>
      <c r="C43" s="261">
        <f>Criteria!C49</f>
        <v>8.85</v>
      </c>
      <c r="D43" s="100" t="str">
        <f>'data input for RPA'!C49</f>
        <v>Y</v>
      </c>
      <c r="E43" s="100" t="str">
        <f>IF('data input for RPA'!D49="","",'data input for RPA'!D49)</f>
        <v>Y</v>
      </c>
      <c r="F43" s="396">
        <f>IF('data input for RPA'!E49="","",'data input for RPA'!E49)</f>
        <v>0.15</v>
      </c>
      <c r="G43" s="396">
        <f>IF('data input for RPA'!F49="","",'data input for RPA'!F49)</f>
      </c>
      <c r="H43" s="9" t="str">
        <f t="shared" si="3"/>
        <v>All ND, MDL&lt;C, MEC=MDL</v>
      </c>
      <c r="I43" s="101">
        <f t="shared" si="4"/>
        <v>0.15</v>
      </c>
      <c r="J43" s="101" t="str">
        <f t="shared" si="5"/>
        <v>MEC&lt;C, go to Step 5</v>
      </c>
      <c r="K43" s="448"/>
      <c r="L43" s="417" t="str">
        <f>IF('data input for RPA'!I49="","",'data input for RPA'!I49)</f>
        <v>Y</v>
      </c>
      <c r="M43" s="417" t="str">
        <f>IF('data input for RPA'!J49="","",'data input for RPA'!J49)</f>
        <v>Y</v>
      </c>
      <c r="N43" s="434">
        <f>IF('data input for RPA'!K49="","",'data input for RPA'!K49)</f>
        <v>0.15</v>
      </c>
      <c r="O43" s="435">
        <f>IF('data input for RPA'!L49="","",'data input for RPA'!L49)</f>
      </c>
      <c r="P43" s="431" t="str">
        <f t="shared" si="6"/>
        <v>N</v>
      </c>
      <c r="Q43" s="468" t="str">
        <f t="shared" si="9"/>
        <v>No detected value of B, Step 7</v>
      </c>
      <c r="R43" s="417">
        <f>'data input for RPA'!O49</f>
      </c>
      <c r="S43" s="407" t="str">
        <f t="shared" si="7"/>
        <v>No</v>
      </c>
      <c r="T43" s="465" t="str">
        <f t="shared" si="10"/>
        <v>No</v>
      </c>
      <c r="U43" s="105" t="str">
        <f t="shared" si="12"/>
        <v>MEC&lt;C &amp; B is ND</v>
      </c>
      <c r="V43" s="452" t="str">
        <f t="shared" si="11"/>
        <v>MEC&lt;C &amp; B is ND</v>
      </c>
    </row>
    <row r="44" spans="1:22" ht="15">
      <c r="A44" s="6">
        <v>39</v>
      </c>
      <c r="B44" s="7" t="s">
        <v>52</v>
      </c>
      <c r="C44" s="261">
        <f>Criteria!C50</f>
        <v>200000</v>
      </c>
      <c r="D44" s="100" t="str">
        <f>'data input for RPA'!C50</f>
        <v>Y</v>
      </c>
      <c r="E44" s="100" t="str">
        <f>IF('data input for RPA'!D50="","",'data input for RPA'!D50)</f>
        <v>Y</v>
      </c>
      <c r="F44" s="396">
        <f>IF('data input for RPA'!E50="","",'data input for RPA'!E50)</f>
        <v>0.4</v>
      </c>
      <c r="G44" s="396">
        <f>IF('data input for RPA'!F50="","",'data input for RPA'!F50)</f>
      </c>
      <c r="H44" s="9" t="str">
        <f t="shared" si="3"/>
        <v>All ND, MDL&lt;C, MEC=MDL</v>
      </c>
      <c r="I44" s="101">
        <f t="shared" si="4"/>
        <v>0.4</v>
      </c>
      <c r="J44" s="101" t="str">
        <f t="shared" si="5"/>
        <v>MEC&lt;C, go to Step 5</v>
      </c>
      <c r="K44" s="448"/>
      <c r="L44" s="417" t="str">
        <f>IF('data input for RPA'!I50="","",'data input for RPA'!I50)</f>
        <v>Y</v>
      </c>
      <c r="M44" s="417" t="str">
        <f>IF('data input for RPA'!J50="","",'data input for RPA'!J50)</f>
        <v>Y</v>
      </c>
      <c r="N44" s="434">
        <f>IF('data input for RPA'!K50="","",'data input for RPA'!K50)</f>
        <v>0.4</v>
      </c>
      <c r="O44" s="435">
        <f>IF('data input for RPA'!L50="","",'data input for RPA'!L50)</f>
      </c>
      <c r="P44" s="431" t="str">
        <f t="shared" si="6"/>
        <v>N</v>
      </c>
      <c r="Q44" s="468" t="str">
        <f t="shared" si="9"/>
        <v>No detected value of B, Step 7</v>
      </c>
      <c r="R44" s="417">
        <f>'data input for RPA'!O50</f>
      </c>
      <c r="S44" s="407" t="str">
        <f t="shared" si="7"/>
        <v>No</v>
      </c>
      <c r="T44" s="465" t="str">
        <f t="shared" si="10"/>
        <v>No</v>
      </c>
      <c r="U44" s="105" t="str">
        <f t="shared" si="12"/>
        <v>MEC&lt;C &amp; B is ND</v>
      </c>
      <c r="V44" s="452" t="str">
        <f t="shared" si="11"/>
        <v>MEC&lt;C &amp; B is ND</v>
      </c>
    </row>
    <row r="45" spans="1:22" ht="15">
      <c r="A45" s="6">
        <v>40</v>
      </c>
      <c r="B45" s="7" t="s">
        <v>53</v>
      </c>
      <c r="C45" s="261">
        <f>Criteria!C51</f>
        <v>140000</v>
      </c>
      <c r="D45" s="100" t="str">
        <f>'data input for RPA'!C51</f>
        <v>Y</v>
      </c>
      <c r="E45" s="100" t="str">
        <f>IF('data input for RPA'!D51="","",'data input for RPA'!D51)</f>
        <v>Y</v>
      </c>
      <c r="F45" s="396">
        <f>IF('data input for RPA'!E51="","",'data input for RPA'!E51)</f>
        <v>0.2</v>
      </c>
      <c r="G45" s="396">
        <f>IF('data input for RPA'!F51="","",'data input for RPA'!F51)</f>
      </c>
      <c r="H45" s="9" t="str">
        <f t="shared" si="3"/>
        <v>All ND, MDL&lt;C, MEC=MDL</v>
      </c>
      <c r="I45" s="101">
        <f t="shared" si="4"/>
        <v>0.2</v>
      </c>
      <c r="J45" s="101" t="str">
        <f t="shared" si="5"/>
        <v>MEC&lt;C, go to Step 5</v>
      </c>
      <c r="K45" s="448"/>
      <c r="L45" s="417" t="str">
        <f>IF('data input for RPA'!I51="","",'data input for RPA'!I51)</f>
        <v>Y</v>
      </c>
      <c r="M45" s="417" t="str">
        <f>IF('data input for RPA'!J51="","",'data input for RPA'!J51)</f>
        <v>Y</v>
      </c>
      <c r="N45" s="434">
        <f>IF('data input for RPA'!K51="","",'data input for RPA'!K51)</f>
        <v>0.2</v>
      </c>
      <c r="O45" s="435">
        <f>IF('data input for RPA'!L51="","",'data input for RPA'!L51)</f>
      </c>
      <c r="P45" s="431" t="str">
        <f t="shared" si="6"/>
        <v>N</v>
      </c>
      <c r="Q45" s="468" t="str">
        <f t="shared" si="9"/>
        <v>No detected value of B, Step 7</v>
      </c>
      <c r="R45" s="417">
        <f>'data input for RPA'!O51</f>
      </c>
      <c r="S45" s="407" t="str">
        <f t="shared" si="7"/>
        <v>No</v>
      </c>
      <c r="T45" s="465" t="str">
        <f t="shared" si="10"/>
        <v>No</v>
      </c>
      <c r="U45" s="105" t="str">
        <f t="shared" si="12"/>
        <v>MEC&lt;C &amp; B is ND</v>
      </c>
      <c r="V45" s="452" t="str">
        <f t="shared" si="11"/>
        <v>MEC&lt;C &amp; B is ND</v>
      </c>
    </row>
    <row r="46" spans="1:22" ht="15">
      <c r="A46" s="6">
        <v>41</v>
      </c>
      <c r="B46" s="7" t="s">
        <v>54</v>
      </c>
      <c r="C46" s="261" t="str">
        <f>Criteria!C52</f>
        <v>No Criteria</v>
      </c>
      <c r="D46" s="100" t="str">
        <f>'data input for RPA'!C52</f>
        <v>Y</v>
      </c>
      <c r="E46" s="100" t="str">
        <f>IF('data input for RPA'!D52="","",'data input for RPA'!D52)</f>
        <v>Y</v>
      </c>
      <c r="F46" s="396">
        <f>IF('data input for RPA'!E52="","",'data input for RPA'!E52)</f>
        <v>0.28</v>
      </c>
      <c r="G46" s="396">
        <f>IF('data input for RPA'!F52="","",'data input for RPA'!F52)</f>
      </c>
      <c r="H46" s="9" t="str">
        <f t="shared" si="3"/>
        <v>No Criteria</v>
      </c>
      <c r="I46" s="101" t="str">
        <f t="shared" si="4"/>
        <v>No Criteria</v>
      </c>
      <c r="J46" s="101" t="str">
        <f t="shared" si="5"/>
        <v>No Criteria</v>
      </c>
      <c r="K46" s="448"/>
      <c r="L46" s="417" t="str">
        <f>IF('data input for RPA'!I52="","",'data input for RPA'!I52)</f>
        <v>Y</v>
      </c>
      <c r="M46" s="417" t="str">
        <f>IF('data input for RPA'!J52="","",'data input for RPA'!J52)</f>
        <v>Y</v>
      </c>
      <c r="N46" s="434">
        <f>IF('data input for RPA'!K52="","",'data input for RPA'!K52)</f>
        <v>0.28</v>
      </c>
      <c r="O46" s="435">
        <f>IF('data input for RPA'!L52="","",'data input for RPA'!L52)</f>
      </c>
      <c r="P46" s="431" t="str">
        <f t="shared" si="6"/>
        <v>N</v>
      </c>
      <c r="Q46" s="468" t="str">
        <f t="shared" si="9"/>
        <v>No Criteria</v>
      </c>
      <c r="R46" s="417" t="str">
        <f>'data input for RPA'!O52</f>
        <v>No Criteria</v>
      </c>
      <c r="S46" s="407" t="str">
        <f t="shared" si="7"/>
        <v>Uo</v>
      </c>
      <c r="T46" s="465" t="str">
        <f t="shared" si="10"/>
        <v>Uo</v>
      </c>
      <c r="U46" s="105" t="str">
        <f t="shared" si="12"/>
        <v>No Criteria</v>
      </c>
      <c r="V46" s="452" t="str">
        <f t="shared" si="11"/>
        <v>No Criteria</v>
      </c>
    </row>
    <row r="47" spans="1:22" ht="15">
      <c r="A47" s="6">
        <v>42</v>
      </c>
      <c r="B47" s="7" t="s">
        <v>55</v>
      </c>
      <c r="C47" s="261">
        <f>Criteria!C53</f>
        <v>42</v>
      </c>
      <c r="D47" s="100" t="str">
        <f>'data input for RPA'!C53</f>
        <v>Y</v>
      </c>
      <c r="E47" s="100" t="str">
        <f>IF('data input for RPA'!D53="","",'data input for RPA'!D53)</f>
        <v>Y</v>
      </c>
      <c r="F47" s="396">
        <f>IF('data input for RPA'!E53="","",'data input for RPA'!E53)</f>
        <v>0.24</v>
      </c>
      <c r="G47" s="396">
        <f>IF('data input for RPA'!F53="","",'data input for RPA'!F53)</f>
      </c>
      <c r="H47" s="9" t="str">
        <f t="shared" si="3"/>
        <v>All ND, MDL&lt;C, MEC=MDL</v>
      </c>
      <c r="I47" s="101">
        <f t="shared" si="4"/>
        <v>0.24</v>
      </c>
      <c r="J47" s="101" t="str">
        <f t="shared" si="5"/>
        <v>MEC&lt;C, go to Step 5</v>
      </c>
      <c r="K47" s="448"/>
      <c r="L47" s="417" t="str">
        <f>IF('data input for RPA'!I53="","",'data input for RPA'!I53)</f>
        <v>Y</v>
      </c>
      <c r="M47" s="417" t="str">
        <f>IF('data input for RPA'!J53="","",'data input for RPA'!J53)</f>
        <v>Y</v>
      </c>
      <c r="N47" s="434">
        <f>IF('data input for RPA'!K53="","",'data input for RPA'!K53)</f>
        <v>0.24</v>
      </c>
      <c r="O47" s="435">
        <f>IF('data input for RPA'!L53="","",'data input for RPA'!L53)</f>
      </c>
      <c r="P47" s="431" t="str">
        <f t="shared" si="6"/>
        <v>N</v>
      </c>
      <c r="Q47" s="468" t="str">
        <f t="shared" si="9"/>
        <v>No detected value of B, Step 7</v>
      </c>
      <c r="R47" s="417">
        <f>'data input for RPA'!O53</f>
      </c>
      <c r="S47" s="407" t="str">
        <f t="shared" si="7"/>
        <v>No</v>
      </c>
      <c r="T47" s="465" t="str">
        <f t="shared" si="10"/>
        <v>No</v>
      </c>
      <c r="U47" s="105" t="str">
        <f t="shared" si="12"/>
        <v>MEC&lt;C &amp; B is ND</v>
      </c>
      <c r="V47" s="452" t="str">
        <f t="shared" si="11"/>
        <v>MEC&lt;C &amp; B is ND</v>
      </c>
    </row>
    <row r="48" spans="1:22" ht="15">
      <c r="A48" s="6">
        <v>43</v>
      </c>
      <c r="B48" s="7" t="s">
        <v>56</v>
      </c>
      <c r="C48" s="261">
        <f>Criteria!C54</f>
        <v>81</v>
      </c>
      <c r="D48" s="100" t="str">
        <f>'data input for RPA'!C54</f>
        <v>Y</v>
      </c>
      <c r="E48" s="100" t="str">
        <f>IF('data input for RPA'!D54="","",'data input for RPA'!D54)</f>
        <v>Y</v>
      </c>
      <c r="F48" s="396">
        <f>IF('data input for RPA'!E54="","",'data input for RPA'!E54)</f>
        <v>0.3</v>
      </c>
      <c r="G48" s="396">
        <f>IF('data input for RPA'!F54="","",'data input for RPA'!F54)</f>
      </c>
      <c r="H48" s="9" t="str">
        <f t="shared" si="3"/>
        <v>All ND, MDL&lt;C, MEC=MDL</v>
      </c>
      <c r="I48" s="101">
        <f t="shared" si="4"/>
        <v>0.3</v>
      </c>
      <c r="J48" s="101" t="str">
        <f t="shared" si="5"/>
        <v>MEC&lt;C, go to Step 5</v>
      </c>
      <c r="K48" s="448"/>
      <c r="L48" s="417" t="str">
        <f>IF('data input for RPA'!I54="","",'data input for RPA'!I54)</f>
        <v>Y</v>
      </c>
      <c r="M48" s="417" t="str">
        <f>IF('data input for RPA'!J54="","",'data input for RPA'!J54)</f>
        <v>Y</v>
      </c>
      <c r="N48" s="434">
        <f>IF('data input for RPA'!K54="","",'data input for RPA'!K54)</f>
        <v>0.3</v>
      </c>
      <c r="O48" s="435">
        <f>IF('data input for RPA'!L54="","",'data input for RPA'!L54)</f>
      </c>
      <c r="P48" s="431" t="str">
        <f t="shared" si="6"/>
        <v>N</v>
      </c>
      <c r="Q48" s="468" t="str">
        <f t="shared" si="9"/>
        <v>No detected value of B, Step 7</v>
      </c>
      <c r="R48" s="417">
        <f>'data input for RPA'!O54</f>
      </c>
      <c r="S48" s="407" t="str">
        <f t="shared" si="7"/>
        <v>No</v>
      </c>
      <c r="T48" s="465" t="str">
        <f t="shared" si="10"/>
        <v>No</v>
      </c>
      <c r="U48" s="105" t="str">
        <f t="shared" si="12"/>
        <v>MEC&lt;C &amp; B is ND</v>
      </c>
      <c r="V48" s="452" t="str">
        <f t="shared" si="11"/>
        <v>MEC&lt;C &amp; B is ND</v>
      </c>
    </row>
    <row r="49" spans="1:22" ht="15">
      <c r="A49" s="6">
        <v>44</v>
      </c>
      <c r="B49" s="7" t="s">
        <v>57</v>
      </c>
      <c r="C49" s="261">
        <f>Criteria!C55</f>
        <v>525</v>
      </c>
      <c r="D49" s="100" t="str">
        <f>'data input for RPA'!C55</f>
        <v>Y</v>
      </c>
      <c r="E49" s="100" t="str">
        <f>IF('data input for RPA'!D55="","",'data input for RPA'!D55)</f>
        <v>Y</v>
      </c>
      <c r="F49" s="396">
        <f>IF('data input for RPA'!E55="","",'data input for RPA'!E55)</f>
        <v>0.32</v>
      </c>
      <c r="G49" s="396">
        <f>IF('data input for RPA'!F55="","",'data input for RPA'!F55)</f>
      </c>
      <c r="H49" s="9" t="str">
        <f t="shared" si="3"/>
        <v>All ND, MDL&lt;C, MEC=MDL</v>
      </c>
      <c r="I49" s="101">
        <f t="shared" si="4"/>
        <v>0.32</v>
      </c>
      <c r="J49" s="101" t="str">
        <f t="shared" si="5"/>
        <v>MEC&lt;C, go to Step 5</v>
      </c>
      <c r="K49" s="448"/>
      <c r="L49" s="417" t="str">
        <f>IF('data input for RPA'!I55="","",'data input for RPA'!I55)</f>
        <v>Y</v>
      </c>
      <c r="M49" s="417" t="str">
        <f>IF('data input for RPA'!J55="","",'data input for RPA'!J55)</f>
        <v>Y</v>
      </c>
      <c r="N49" s="434">
        <f>IF('data input for RPA'!K55="","",'data input for RPA'!K55)</f>
        <v>0.32</v>
      </c>
      <c r="O49" s="435">
        <f>IF('data input for RPA'!L55="","",'data input for RPA'!L55)</f>
      </c>
      <c r="P49" s="431" t="str">
        <f t="shared" si="6"/>
        <v>N</v>
      </c>
      <c r="Q49" s="468" t="str">
        <f t="shared" si="9"/>
        <v>No detected value of B, Step 7</v>
      </c>
      <c r="R49" s="417">
        <f>'data input for RPA'!O55</f>
      </c>
      <c r="S49" s="407" t="str">
        <f t="shared" si="7"/>
        <v>No</v>
      </c>
      <c r="T49" s="465" t="str">
        <f t="shared" si="10"/>
        <v>No</v>
      </c>
      <c r="U49" s="105" t="str">
        <f t="shared" si="12"/>
        <v>MEC&lt;C &amp; B is ND</v>
      </c>
      <c r="V49" s="452" t="str">
        <f t="shared" si="11"/>
        <v>MEC&lt;C &amp; B is ND</v>
      </c>
    </row>
    <row r="50" spans="1:22" ht="15">
      <c r="A50" s="6">
        <v>45</v>
      </c>
      <c r="B50" s="7" t="s">
        <v>58</v>
      </c>
      <c r="C50" s="261">
        <f>Criteria!C56</f>
        <v>400</v>
      </c>
      <c r="D50" s="100" t="str">
        <f>'data input for RPA'!C56</f>
        <v>Y</v>
      </c>
      <c r="E50" s="100" t="str">
        <f>IF('data input for RPA'!D56="","",'data input for RPA'!D56)</f>
        <v>Y</v>
      </c>
      <c r="F50" s="396">
        <f>IF('data input for RPA'!E56="","",'data input for RPA'!E56)</f>
        <v>0.8</v>
      </c>
      <c r="G50" s="396">
        <f>IF('data input for RPA'!F56="","",'data input for RPA'!F56)</f>
      </c>
      <c r="H50" s="9" t="str">
        <f t="shared" si="3"/>
        <v>All ND, MDL&lt;C, MEC=MDL</v>
      </c>
      <c r="I50" s="101">
        <f t="shared" si="4"/>
        <v>0.8</v>
      </c>
      <c r="J50" s="101" t="str">
        <f t="shared" si="5"/>
        <v>MEC&lt;C, go to Step 5</v>
      </c>
      <c r="K50" s="448"/>
      <c r="L50" s="417" t="str">
        <f>IF('data input for RPA'!I56="","",'data input for RPA'!I56)</f>
        <v>Y</v>
      </c>
      <c r="M50" s="417" t="str">
        <f>IF('data input for RPA'!J56="","",'data input for RPA'!J56)</f>
        <v>Y</v>
      </c>
      <c r="N50" s="434">
        <f>IF('data input for RPA'!K56="","",'data input for RPA'!K56)</f>
        <v>0.8</v>
      </c>
      <c r="O50" s="435">
        <f>IF('data input for RPA'!L56="","",'data input for RPA'!L56)</f>
      </c>
      <c r="P50" s="431" t="str">
        <f t="shared" si="6"/>
        <v>N</v>
      </c>
      <c r="Q50" s="468" t="str">
        <f t="shared" si="9"/>
        <v>No detected value of B, Step 7</v>
      </c>
      <c r="R50" s="417">
        <f>'data input for RPA'!O56</f>
      </c>
      <c r="S50" s="407" t="str">
        <f t="shared" si="7"/>
        <v>No</v>
      </c>
      <c r="T50" s="465" t="str">
        <f t="shared" si="10"/>
        <v>No</v>
      </c>
      <c r="U50" s="105" t="str">
        <f t="shared" si="12"/>
        <v>MEC&lt;C &amp; B is ND</v>
      </c>
      <c r="V50" s="452" t="str">
        <f t="shared" si="11"/>
        <v>MEC&lt;C &amp; B is ND</v>
      </c>
    </row>
    <row r="51" spans="1:22" ht="15">
      <c r="A51" s="6">
        <v>46</v>
      </c>
      <c r="B51" s="7" t="s">
        <v>59</v>
      </c>
      <c r="C51" s="261">
        <f>Criteria!C57</f>
        <v>790</v>
      </c>
      <c r="D51" s="100" t="str">
        <f>'data input for RPA'!C57</f>
        <v>Y</v>
      </c>
      <c r="E51" s="100" t="str">
        <f>IF('data input for RPA'!D57="","",'data input for RPA'!D57)</f>
        <v>Y</v>
      </c>
      <c r="F51" s="396">
        <f>IF('data input for RPA'!E57="","",'data input for RPA'!E57)</f>
        <v>0.6</v>
      </c>
      <c r="G51" s="396">
        <f>IF('data input for RPA'!F57="","",'data input for RPA'!F57)</f>
      </c>
      <c r="H51" s="9" t="str">
        <f t="shared" si="3"/>
        <v>All ND, MDL&lt;C, MEC=MDL</v>
      </c>
      <c r="I51" s="101">
        <f t="shared" si="4"/>
        <v>0.6</v>
      </c>
      <c r="J51" s="101" t="str">
        <f t="shared" si="5"/>
        <v>MEC&lt;C, go to Step 5</v>
      </c>
      <c r="K51" s="448"/>
      <c r="L51" s="417" t="str">
        <f>IF('data input for RPA'!I57="","",'data input for RPA'!I57)</f>
        <v>Y</v>
      </c>
      <c r="M51" s="417" t="str">
        <f>IF('data input for RPA'!J57="","",'data input for RPA'!J57)</f>
        <v>Y</v>
      </c>
      <c r="N51" s="434">
        <f>IF('data input for RPA'!K57="","",'data input for RPA'!K57)</f>
        <v>0.6</v>
      </c>
      <c r="O51" s="435">
        <f>IF('data input for RPA'!L57="","",'data input for RPA'!L57)</f>
      </c>
      <c r="P51" s="431" t="str">
        <f t="shared" si="6"/>
        <v>N</v>
      </c>
      <c r="Q51" s="468" t="str">
        <f t="shared" si="9"/>
        <v>No detected value of B, Step 7</v>
      </c>
      <c r="R51" s="417">
        <f>'data input for RPA'!O57</f>
      </c>
      <c r="S51" s="407" t="str">
        <f t="shared" si="7"/>
        <v>No</v>
      </c>
      <c r="T51" s="465" t="str">
        <f t="shared" si="10"/>
        <v>No</v>
      </c>
      <c r="U51" s="105" t="str">
        <f t="shared" si="12"/>
        <v>MEC&lt;C &amp; B is ND</v>
      </c>
      <c r="V51" s="452" t="str">
        <f t="shared" si="11"/>
        <v>MEC&lt;C &amp; B is ND</v>
      </c>
    </row>
    <row r="52" spans="1:22" ht="15">
      <c r="A52" s="6">
        <v>47</v>
      </c>
      <c r="B52" s="7" t="s">
        <v>60</v>
      </c>
      <c r="C52" s="261">
        <f>Criteria!C58</f>
        <v>2300</v>
      </c>
      <c r="D52" s="100" t="str">
        <f>'data input for RPA'!C58</f>
        <v>Y</v>
      </c>
      <c r="E52" s="100" t="str">
        <f>IF('data input for RPA'!D58="","",'data input for RPA'!D58)</f>
        <v>Y</v>
      </c>
      <c r="F52" s="396">
        <f>IF('data input for RPA'!E58="","",'data input for RPA'!E58)</f>
        <v>1</v>
      </c>
      <c r="G52" s="396">
        <f>IF('data input for RPA'!F58="","",'data input for RPA'!F58)</f>
      </c>
      <c r="H52" s="9" t="str">
        <f t="shared" si="3"/>
        <v>All ND, MDL&lt;C, MEC=MDL</v>
      </c>
      <c r="I52" s="101">
        <f t="shared" si="4"/>
        <v>1</v>
      </c>
      <c r="J52" s="101" t="str">
        <f t="shared" si="5"/>
        <v>MEC&lt;C, go to Step 5</v>
      </c>
      <c r="K52" s="448"/>
      <c r="L52" s="417" t="str">
        <f>IF('data input for RPA'!I58="","",'data input for RPA'!I58)</f>
        <v>Y</v>
      </c>
      <c r="M52" s="417" t="str">
        <f>IF('data input for RPA'!J58="","",'data input for RPA'!J58)</f>
        <v>Y</v>
      </c>
      <c r="N52" s="434">
        <f>IF('data input for RPA'!K58="","",'data input for RPA'!K58)</f>
        <v>1</v>
      </c>
      <c r="O52" s="435">
        <f>IF('data input for RPA'!L58="","",'data input for RPA'!L58)</f>
      </c>
      <c r="P52" s="431" t="str">
        <f t="shared" si="6"/>
        <v>N</v>
      </c>
      <c r="Q52" s="468" t="str">
        <f t="shared" si="9"/>
        <v>No detected value of B, Step 7</v>
      </c>
      <c r="R52" s="417">
        <f>'data input for RPA'!O58</f>
      </c>
      <c r="S52" s="407" t="str">
        <f t="shared" si="7"/>
        <v>No</v>
      </c>
      <c r="T52" s="465" t="str">
        <f t="shared" si="10"/>
        <v>No</v>
      </c>
      <c r="U52" s="105" t="str">
        <f t="shared" si="12"/>
        <v>MEC&lt;C &amp; B is ND</v>
      </c>
      <c r="V52" s="452" t="str">
        <f t="shared" si="11"/>
        <v>MEC&lt;C &amp; B is ND</v>
      </c>
    </row>
    <row r="53" spans="1:22" ht="15">
      <c r="A53" s="6">
        <v>48</v>
      </c>
      <c r="B53" s="7" t="s">
        <v>61</v>
      </c>
      <c r="C53" s="261">
        <f>Criteria!C59</f>
        <v>765</v>
      </c>
      <c r="D53" s="100" t="str">
        <f>'data input for RPA'!C59</f>
        <v>Y</v>
      </c>
      <c r="E53" s="100" t="str">
        <f>IF('data input for RPA'!D59="","",'data input for RPA'!D59)</f>
        <v>Y</v>
      </c>
      <c r="F53" s="396">
        <f>IF('data input for RPA'!E59="","",'data input for RPA'!E59)</f>
        <v>1</v>
      </c>
      <c r="G53" s="396">
        <f>IF('data input for RPA'!F59="","",'data input for RPA'!F59)</f>
      </c>
      <c r="H53" s="9" t="str">
        <f t="shared" si="3"/>
        <v>All ND, MDL&lt;C, MEC=MDL</v>
      </c>
      <c r="I53" s="101">
        <f t="shared" si="4"/>
        <v>1</v>
      </c>
      <c r="J53" s="101" t="str">
        <f t="shared" si="5"/>
        <v>MEC&lt;C, go to Step 5</v>
      </c>
      <c r="K53" s="448"/>
      <c r="L53" s="417" t="str">
        <f>IF('data input for RPA'!I59="","",'data input for RPA'!I59)</f>
        <v>Y</v>
      </c>
      <c r="M53" s="417" t="str">
        <f>IF('data input for RPA'!J59="","",'data input for RPA'!J59)</f>
        <v>Y</v>
      </c>
      <c r="N53" s="434">
        <f>IF('data input for RPA'!K59="","",'data input for RPA'!K59)</f>
        <v>1</v>
      </c>
      <c r="O53" s="435">
        <f>IF('data input for RPA'!L59="","",'data input for RPA'!L59)</f>
      </c>
      <c r="P53" s="431" t="str">
        <f t="shared" si="6"/>
        <v>N</v>
      </c>
      <c r="Q53" s="468" t="str">
        <f t="shared" si="9"/>
        <v>No detected value of B, Step 7</v>
      </c>
      <c r="R53" s="417">
        <f>'data input for RPA'!O59</f>
      </c>
      <c r="S53" s="407" t="str">
        <f t="shared" si="7"/>
        <v>No</v>
      </c>
      <c r="T53" s="465" t="str">
        <f t="shared" si="10"/>
        <v>No</v>
      </c>
      <c r="U53" s="105" t="str">
        <f t="shared" si="12"/>
        <v>MEC&lt;C &amp; B is ND</v>
      </c>
      <c r="V53" s="452" t="str">
        <f t="shared" si="11"/>
        <v>MEC&lt;C &amp; B is ND</v>
      </c>
    </row>
    <row r="54" spans="1:22" ht="15">
      <c r="A54" s="6">
        <v>49</v>
      </c>
      <c r="B54" s="7" t="s">
        <v>62</v>
      </c>
      <c r="C54" s="261">
        <f>Criteria!C60</f>
        <v>14000</v>
      </c>
      <c r="D54" s="100" t="str">
        <f>'data input for RPA'!C60</f>
        <v>Y</v>
      </c>
      <c r="E54" s="100" t="str">
        <f>IF('data input for RPA'!D60="","",'data input for RPA'!D60)</f>
        <v>Y</v>
      </c>
      <c r="F54" s="396">
        <f>IF('data input for RPA'!E60="","",'data input for RPA'!E60)</f>
        <v>2</v>
      </c>
      <c r="G54" s="396">
        <f>IF('data input for RPA'!F60="","",'data input for RPA'!F60)</f>
      </c>
      <c r="H54" s="9" t="str">
        <f t="shared" si="3"/>
        <v>All ND, MDL&lt;C, MEC=MDL</v>
      </c>
      <c r="I54" s="101">
        <f t="shared" si="4"/>
        <v>2</v>
      </c>
      <c r="J54" s="101" t="str">
        <f t="shared" si="5"/>
        <v>MEC&lt;C, go to Step 5</v>
      </c>
      <c r="K54" s="448"/>
      <c r="L54" s="417" t="str">
        <f>IF('data input for RPA'!I60="","",'data input for RPA'!I60)</f>
        <v>Y</v>
      </c>
      <c r="M54" s="417" t="str">
        <f>IF('data input for RPA'!J60="","",'data input for RPA'!J60)</f>
        <v>Y</v>
      </c>
      <c r="N54" s="434">
        <f>IF('data input for RPA'!K60="","",'data input for RPA'!K60)</f>
        <v>2</v>
      </c>
      <c r="O54" s="435">
        <f>IF('data input for RPA'!L60="","",'data input for RPA'!L60)</f>
      </c>
      <c r="P54" s="431" t="str">
        <f t="shared" si="6"/>
        <v>N</v>
      </c>
      <c r="Q54" s="468" t="str">
        <f t="shared" si="9"/>
        <v>No detected value of B, Step 7</v>
      </c>
      <c r="R54" s="417">
        <f>'data input for RPA'!O60</f>
      </c>
      <c r="S54" s="407" t="str">
        <f t="shared" si="7"/>
        <v>No</v>
      </c>
      <c r="T54" s="465" t="str">
        <f t="shared" si="10"/>
        <v>No</v>
      </c>
      <c r="U54" s="105" t="str">
        <f t="shared" si="12"/>
        <v>MEC&lt;C &amp; B is ND</v>
      </c>
      <c r="V54" s="452" t="str">
        <f t="shared" si="11"/>
        <v>MEC&lt;C &amp; B is ND</v>
      </c>
    </row>
    <row r="55" spans="1:22" ht="15">
      <c r="A55" s="6">
        <v>50</v>
      </c>
      <c r="B55" s="7" t="s">
        <v>63</v>
      </c>
      <c r="C55" s="261" t="str">
        <f>Criteria!C61</f>
        <v>No Criteria</v>
      </c>
      <c r="D55" s="100" t="str">
        <f>'data input for RPA'!C61</f>
        <v>Y</v>
      </c>
      <c r="E55" s="100" t="str">
        <f>IF('data input for RPA'!D61="","",'data input for RPA'!D61)</f>
        <v>Y</v>
      </c>
      <c r="F55" s="396">
        <f>IF('data input for RPA'!E61="","",'data input for RPA'!E61)</f>
        <v>1</v>
      </c>
      <c r="G55" s="396">
        <f>IF('data input for RPA'!F61="","",'data input for RPA'!F61)</f>
      </c>
      <c r="H55" s="9" t="str">
        <f t="shared" si="3"/>
        <v>No Criteria</v>
      </c>
      <c r="I55" s="101" t="str">
        <f t="shared" si="4"/>
        <v>No Criteria</v>
      </c>
      <c r="J55" s="101" t="str">
        <f t="shared" si="5"/>
        <v>No Criteria</v>
      </c>
      <c r="K55" s="448"/>
      <c r="L55" s="417" t="str">
        <f>IF('data input for RPA'!I61="","",'data input for RPA'!I61)</f>
        <v>Y</v>
      </c>
      <c r="M55" s="417" t="str">
        <f>IF('data input for RPA'!J61="","",'data input for RPA'!J61)</f>
        <v>Y</v>
      </c>
      <c r="N55" s="434">
        <f>IF('data input for RPA'!K61="","",'data input for RPA'!K61)</f>
        <v>1</v>
      </c>
      <c r="O55" s="435">
        <f>IF('data input for RPA'!L61="","",'data input for RPA'!L61)</f>
      </c>
      <c r="P55" s="431" t="str">
        <f t="shared" si="6"/>
        <v>N</v>
      </c>
      <c r="Q55" s="468" t="str">
        <f t="shared" si="9"/>
        <v>No Criteria</v>
      </c>
      <c r="R55" s="417" t="str">
        <f>'data input for RPA'!O61</f>
        <v>No Criteria</v>
      </c>
      <c r="S55" s="407" t="str">
        <f t="shared" si="7"/>
        <v>Uo</v>
      </c>
      <c r="T55" s="465" t="str">
        <f t="shared" si="10"/>
        <v>Uo</v>
      </c>
      <c r="U55" s="105" t="str">
        <f t="shared" si="12"/>
        <v>No Criteria</v>
      </c>
      <c r="V55" s="452" t="str">
        <f t="shared" si="11"/>
        <v>No Criteria</v>
      </c>
    </row>
    <row r="56" spans="1:22" ht="15">
      <c r="A56" s="6">
        <v>51</v>
      </c>
      <c r="B56" s="7" t="s">
        <v>64</v>
      </c>
      <c r="C56" s="261" t="str">
        <f>Criteria!C62</f>
        <v>No Criteria</v>
      </c>
      <c r="D56" s="100" t="str">
        <f>'data input for RPA'!C62</f>
        <v>Y</v>
      </c>
      <c r="E56" s="100" t="str">
        <f>IF('data input for RPA'!D62="","",'data input for RPA'!D62)</f>
        <v>Y</v>
      </c>
      <c r="F56" s="396">
        <f>IF('data input for RPA'!E62="","",'data input for RPA'!E62)</f>
        <v>2</v>
      </c>
      <c r="G56" s="396">
        <f>IF('data input for RPA'!F62="","",'data input for RPA'!F62)</f>
      </c>
      <c r="H56" s="9" t="str">
        <f t="shared" si="3"/>
        <v>No Criteria</v>
      </c>
      <c r="I56" s="101" t="str">
        <f t="shared" si="4"/>
        <v>No Criteria</v>
      </c>
      <c r="J56" s="101" t="str">
        <f t="shared" si="5"/>
        <v>No Criteria</v>
      </c>
      <c r="K56" s="448"/>
      <c r="L56" s="417" t="str">
        <f>IF('data input for RPA'!I62="","",'data input for RPA'!I62)</f>
        <v>Y</v>
      </c>
      <c r="M56" s="417" t="str">
        <f>IF('data input for RPA'!J62="","",'data input for RPA'!J62)</f>
        <v>Y</v>
      </c>
      <c r="N56" s="434">
        <f>IF('data input for RPA'!K62="","",'data input for RPA'!K62)</f>
        <v>2</v>
      </c>
      <c r="O56" s="435">
        <f>IF('data input for RPA'!L62="","",'data input for RPA'!L62)</f>
      </c>
      <c r="P56" s="431" t="str">
        <f t="shared" si="6"/>
        <v>N</v>
      </c>
      <c r="Q56" s="468" t="str">
        <f t="shared" si="9"/>
        <v>No Criteria</v>
      </c>
      <c r="R56" s="417" t="str">
        <f>'data input for RPA'!O62</f>
        <v>No Criteria</v>
      </c>
      <c r="S56" s="407" t="str">
        <f t="shared" si="7"/>
        <v>Uo</v>
      </c>
      <c r="T56" s="465" t="str">
        <f t="shared" si="10"/>
        <v>Uo</v>
      </c>
      <c r="U56" s="105" t="str">
        <f t="shared" si="12"/>
        <v>No Criteria</v>
      </c>
      <c r="V56" s="452" t="str">
        <f t="shared" si="11"/>
        <v>No Criteria</v>
      </c>
    </row>
    <row r="57" spans="1:22" ht="15">
      <c r="A57" s="6">
        <v>52</v>
      </c>
      <c r="B57" s="7" t="s">
        <v>65</v>
      </c>
      <c r="C57" s="261" t="str">
        <f>Criteria!C63</f>
        <v>No Criteria</v>
      </c>
      <c r="D57" s="100" t="str">
        <f>'data input for RPA'!C63</f>
        <v>Y</v>
      </c>
      <c r="E57" s="100" t="str">
        <f>IF('data input for RPA'!D63="","",'data input for RPA'!D63)</f>
        <v>Y</v>
      </c>
      <c r="F57" s="396">
        <f>IF('data input for RPA'!E63="","",'data input for RPA'!E63)</f>
        <v>0.5</v>
      </c>
      <c r="G57" s="396">
        <f>IF('data input for RPA'!F63="","",'data input for RPA'!F63)</f>
      </c>
      <c r="H57" s="9" t="str">
        <f t="shared" si="3"/>
        <v>No Criteria</v>
      </c>
      <c r="I57" s="101" t="str">
        <f t="shared" si="4"/>
        <v>No Criteria</v>
      </c>
      <c r="J57" s="101" t="str">
        <f t="shared" si="5"/>
        <v>No Criteria</v>
      </c>
      <c r="K57" s="448"/>
      <c r="L57" s="417" t="str">
        <f>IF('data input for RPA'!I63="","",'data input for RPA'!I63)</f>
        <v>Y</v>
      </c>
      <c r="M57" s="417" t="str">
        <f>IF('data input for RPA'!J63="","",'data input for RPA'!J63)</f>
        <v>Y</v>
      </c>
      <c r="N57" s="434">
        <f>IF('data input for RPA'!K63="","",'data input for RPA'!K63)</f>
        <v>0.5</v>
      </c>
      <c r="O57" s="435">
        <f>IF('data input for RPA'!L63="","",'data input for RPA'!L63)</f>
      </c>
      <c r="P57" s="431" t="str">
        <f t="shared" si="6"/>
        <v>N</v>
      </c>
      <c r="Q57" s="468" t="str">
        <f t="shared" si="9"/>
        <v>No Criteria</v>
      </c>
      <c r="R57" s="417" t="str">
        <f>'data input for RPA'!O63</f>
        <v>No Criteria</v>
      </c>
      <c r="S57" s="407" t="str">
        <f t="shared" si="7"/>
        <v>Uo</v>
      </c>
      <c r="T57" s="465" t="str">
        <f t="shared" si="10"/>
        <v>Uo</v>
      </c>
      <c r="U57" s="105" t="str">
        <f t="shared" si="12"/>
        <v>No Criteria</v>
      </c>
      <c r="V57" s="452" t="str">
        <f t="shared" si="11"/>
        <v>No Criteria</v>
      </c>
    </row>
    <row r="58" spans="1:22" ht="15">
      <c r="A58" s="6">
        <v>53</v>
      </c>
      <c r="B58" s="7" t="s">
        <v>66</v>
      </c>
      <c r="C58" s="261">
        <f>Criteria!C64</f>
        <v>7.9</v>
      </c>
      <c r="D58" s="100" t="str">
        <f>'data input for RPA'!C64</f>
        <v>Y</v>
      </c>
      <c r="E58" s="100" t="str">
        <f>IF('data input for RPA'!D64="","",'data input for RPA'!D64)</f>
        <v>Y</v>
      </c>
      <c r="F58" s="396">
        <f>IF('data input for RPA'!E64="","",'data input for RPA'!E64)</f>
        <v>4.8</v>
      </c>
      <c r="G58" s="396">
        <f>IF('data input for RPA'!F64="","",'data input for RPA'!F64)</f>
      </c>
      <c r="H58" s="9" t="str">
        <f t="shared" si="3"/>
        <v>All ND, MDL&lt;C, MEC=MDL</v>
      </c>
      <c r="I58" s="101">
        <f t="shared" si="4"/>
        <v>4.8</v>
      </c>
      <c r="J58" s="101" t="str">
        <f t="shared" si="5"/>
        <v>MEC&lt;C, go to Step 5</v>
      </c>
      <c r="K58" s="448"/>
      <c r="L58" s="417" t="str">
        <f>IF('data input for RPA'!I64="","",'data input for RPA'!I64)</f>
        <v>Y</v>
      </c>
      <c r="M58" s="417" t="str">
        <f>IF('data input for RPA'!J64="","",'data input for RPA'!J64)</f>
        <v>Y</v>
      </c>
      <c r="N58" s="434">
        <f>IF('data input for RPA'!K64="","",'data input for RPA'!K64)</f>
        <v>0.2</v>
      </c>
      <c r="O58" s="435">
        <f>IF('data input for RPA'!L64="","",'data input for RPA'!L64)</f>
      </c>
      <c r="P58" s="431" t="str">
        <f t="shared" si="6"/>
        <v>N</v>
      </c>
      <c r="Q58" s="468" t="str">
        <f t="shared" si="9"/>
        <v>No detected value of B, Step 7</v>
      </c>
      <c r="R58" s="417">
        <f>'data input for RPA'!O64</f>
      </c>
      <c r="S58" s="407" t="str">
        <f t="shared" si="7"/>
        <v>No</v>
      </c>
      <c r="T58" s="465" t="str">
        <f t="shared" si="10"/>
        <v>No</v>
      </c>
      <c r="U58" s="105" t="str">
        <f t="shared" si="12"/>
        <v>MEC&lt;C &amp; B is ND</v>
      </c>
      <c r="V58" s="452" t="str">
        <f t="shared" si="11"/>
        <v>MEC&lt;C &amp; B is ND</v>
      </c>
    </row>
    <row r="59" spans="1:22" ht="15">
      <c r="A59" s="6">
        <v>54</v>
      </c>
      <c r="B59" s="7" t="s">
        <v>67</v>
      </c>
      <c r="C59" s="261">
        <f>Criteria!C65</f>
        <v>4600000</v>
      </c>
      <c r="D59" s="100" t="str">
        <f>'data input for RPA'!C65</f>
        <v>Y</v>
      </c>
      <c r="E59" s="100" t="str">
        <f>IF('data input for RPA'!D65="","",'data input for RPA'!D65)</f>
        <v>Y</v>
      </c>
      <c r="F59" s="396">
        <f>IF('data input for RPA'!E65="","",'data input for RPA'!E65)</f>
        <v>0.5</v>
      </c>
      <c r="G59" s="396">
        <f>IF('data input for RPA'!F65="","",'data input for RPA'!F65)</f>
      </c>
      <c r="H59" s="9" t="str">
        <f t="shared" si="3"/>
        <v>All ND, MDL&lt;C, MEC=MDL</v>
      </c>
      <c r="I59" s="101">
        <f t="shared" si="4"/>
        <v>0.5</v>
      </c>
      <c r="J59" s="101" t="str">
        <f t="shared" si="5"/>
        <v>MEC&lt;C, go to Step 5</v>
      </c>
      <c r="K59" s="448"/>
      <c r="L59" s="417" t="str">
        <f>IF('data input for RPA'!I65="","",'data input for RPA'!I65)</f>
        <v>Y</v>
      </c>
      <c r="M59" s="417" t="str">
        <f>IF('data input for RPA'!J65="","",'data input for RPA'!J65)</f>
        <v>Y</v>
      </c>
      <c r="N59" s="434">
        <f>IF('data input for RPA'!K65="","",'data input for RPA'!K65)</f>
        <v>0.5</v>
      </c>
      <c r="O59" s="435">
        <f>IF('data input for RPA'!L65="","",'data input for RPA'!L65)</f>
      </c>
      <c r="P59" s="431" t="str">
        <f t="shared" si="6"/>
        <v>N</v>
      </c>
      <c r="Q59" s="468" t="str">
        <f t="shared" si="9"/>
        <v>No detected value of B, Step 7</v>
      </c>
      <c r="R59" s="417">
        <f>'data input for RPA'!O65</f>
      </c>
      <c r="S59" s="407" t="str">
        <f t="shared" si="7"/>
        <v>No</v>
      </c>
      <c r="T59" s="465" t="str">
        <f t="shared" si="10"/>
        <v>No</v>
      </c>
      <c r="U59" s="105" t="str">
        <f t="shared" si="12"/>
        <v>MEC&lt;C &amp; B is ND</v>
      </c>
      <c r="V59" s="452" t="str">
        <f t="shared" si="11"/>
        <v>MEC&lt;C &amp; B is ND</v>
      </c>
    </row>
    <row r="60" spans="1:22" ht="15">
      <c r="A60" s="6">
        <v>55</v>
      </c>
      <c r="B60" s="7" t="s">
        <v>68</v>
      </c>
      <c r="C60" s="261">
        <f>Criteria!C66</f>
        <v>6.5</v>
      </c>
      <c r="D60" s="100" t="str">
        <f>'data input for RPA'!C66</f>
        <v>Y</v>
      </c>
      <c r="E60" s="100" t="str">
        <f>IF('data input for RPA'!D66="","",'data input for RPA'!D66)</f>
        <v>Y</v>
      </c>
      <c r="F60" s="396">
        <f>IF('data input for RPA'!E66="","",'data input for RPA'!E66)</f>
        <v>1</v>
      </c>
      <c r="G60" s="396">
        <f>IF('data input for RPA'!F66="","",'data input for RPA'!F66)</f>
      </c>
      <c r="H60" s="9" t="str">
        <f t="shared" si="3"/>
        <v>All ND, MDL&lt;C, MEC=MDL</v>
      </c>
      <c r="I60" s="101">
        <f t="shared" si="4"/>
        <v>1</v>
      </c>
      <c r="J60" s="101" t="str">
        <f t="shared" si="5"/>
        <v>MEC&lt;C, go to Step 5</v>
      </c>
      <c r="K60" s="448"/>
      <c r="L60" s="417" t="str">
        <f>IF('data input for RPA'!I66="","",'data input for RPA'!I66)</f>
        <v>Y</v>
      </c>
      <c r="M60" s="417" t="str">
        <f>IF('data input for RPA'!J66="","",'data input for RPA'!J66)</f>
        <v>Y</v>
      </c>
      <c r="N60" s="434">
        <f>IF('data input for RPA'!K66="","",'data input for RPA'!K66)</f>
        <v>1</v>
      </c>
      <c r="O60" s="435">
        <f>IF('data input for RPA'!L66="","",'data input for RPA'!L66)</f>
      </c>
      <c r="P60" s="431" t="str">
        <f t="shared" si="6"/>
        <v>N</v>
      </c>
      <c r="Q60" s="468" t="str">
        <f t="shared" si="9"/>
        <v>No detected value of B, Step 7</v>
      </c>
      <c r="R60" s="417">
        <f>'data input for RPA'!O66</f>
      </c>
      <c r="S60" s="407" t="str">
        <f t="shared" si="7"/>
        <v>No</v>
      </c>
      <c r="T60" s="465" t="str">
        <f t="shared" si="10"/>
        <v>No</v>
      </c>
      <c r="U60" s="105" t="str">
        <f t="shared" si="12"/>
        <v>MEC&lt;C &amp; B is ND</v>
      </c>
      <c r="V60" s="452" t="str">
        <f t="shared" si="11"/>
        <v>MEC&lt;C &amp; B is ND</v>
      </c>
    </row>
    <row r="61" spans="1:22" ht="15">
      <c r="A61" s="6">
        <v>56</v>
      </c>
      <c r="B61" s="7" t="s">
        <v>69</v>
      </c>
      <c r="C61" s="261">
        <f>Criteria!C67</f>
        <v>2700</v>
      </c>
      <c r="D61" s="100" t="str">
        <f>'data input for RPA'!C67</f>
        <v>Y</v>
      </c>
      <c r="E61" s="100" t="str">
        <f>IF('data input for RPA'!D67="","",'data input for RPA'!D67)</f>
        <v>Y</v>
      </c>
      <c r="F61" s="396">
        <f>IF('data input for RPA'!E67="","",'data input for RPA'!E67)</f>
        <v>0.23</v>
      </c>
      <c r="G61" s="396">
        <f>IF('data input for RPA'!F67="","",'data input for RPA'!F67)</f>
      </c>
      <c r="H61" s="9" t="str">
        <f t="shared" si="3"/>
        <v>All ND, MDL&lt;C, MEC=MDL</v>
      </c>
      <c r="I61" s="101">
        <f t="shared" si="4"/>
        <v>0.23</v>
      </c>
      <c r="J61" s="101" t="str">
        <f t="shared" si="5"/>
        <v>MEC&lt;C, go to Step 5</v>
      </c>
      <c r="K61" s="448"/>
      <c r="L61" s="417" t="str">
        <f>IF('data input for RPA'!I67="","",'data input for RPA'!I67)</f>
        <v>Y</v>
      </c>
      <c r="M61" s="417" t="str">
        <f>IF('data input for RPA'!J67="","",'data input for RPA'!J67)</f>
        <v>Y</v>
      </c>
      <c r="N61" s="434">
        <f>IF('data input for RPA'!K67="","",'data input for RPA'!K67)</f>
        <v>0.5</v>
      </c>
      <c r="O61" s="435">
        <f>IF('data input for RPA'!L67="","",'data input for RPA'!L67)</f>
      </c>
      <c r="P61" s="431" t="str">
        <f t="shared" si="6"/>
        <v>N</v>
      </c>
      <c r="Q61" s="468" t="str">
        <f t="shared" si="9"/>
        <v>No detected value of B, Step 7</v>
      </c>
      <c r="R61" s="417">
        <f>'data input for RPA'!O67</f>
      </c>
      <c r="S61" s="407" t="str">
        <f t="shared" si="7"/>
        <v>No</v>
      </c>
      <c r="T61" s="465" t="str">
        <f t="shared" si="10"/>
        <v>No</v>
      </c>
      <c r="U61" s="105" t="str">
        <f t="shared" si="12"/>
        <v>MEC&lt;C &amp; B is ND</v>
      </c>
      <c r="V61" s="452" t="str">
        <f t="shared" si="11"/>
        <v>MEC&lt;C &amp; B is ND</v>
      </c>
    </row>
    <row r="62" spans="1:22" ht="15">
      <c r="A62" s="6">
        <v>57</v>
      </c>
      <c r="B62" s="7" t="s">
        <v>70</v>
      </c>
      <c r="C62" s="261" t="str">
        <f>Criteria!C68</f>
        <v>No Criteria</v>
      </c>
      <c r="D62" s="100" t="str">
        <f>'data input for RPA'!C68</f>
        <v>Y</v>
      </c>
      <c r="E62" s="100" t="str">
        <f>IF('data input for RPA'!D68="","",'data input for RPA'!D68)</f>
        <v>Y</v>
      </c>
      <c r="F62" s="396">
        <f>IF('data input for RPA'!E68="","",'data input for RPA'!E68)</f>
        <v>1.8</v>
      </c>
      <c r="G62" s="396">
        <f>IF('data input for RPA'!F68="","",'data input for RPA'!F68)</f>
      </c>
      <c r="H62" s="9" t="str">
        <f t="shared" si="3"/>
        <v>No Criteria</v>
      </c>
      <c r="I62" s="101" t="str">
        <f t="shared" si="4"/>
        <v>No Criteria</v>
      </c>
      <c r="J62" s="101" t="str">
        <f t="shared" si="5"/>
        <v>No Criteria</v>
      </c>
      <c r="K62" s="448"/>
      <c r="L62" s="417" t="str">
        <f>IF('data input for RPA'!I68="","",'data input for RPA'!I68)</f>
        <v>Y</v>
      </c>
      <c r="M62" s="417" t="str">
        <f>IF('data input for RPA'!J68="","",'data input for RPA'!J68)</f>
        <v>Y</v>
      </c>
      <c r="N62" s="434">
        <f>IF('data input for RPA'!K68="","",'data input for RPA'!K68)</f>
        <v>1</v>
      </c>
      <c r="O62" s="435">
        <f>IF('data input for RPA'!L68="","",'data input for RPA'!L68)</f>
      </c>
      <c r="P62" s="431" t="str">
        <f t="shared" si="6"/>
        <v>N</v>
      </c>
      <c r="Q62" s="468" t="str">
        <f t="shared" si="9"/>
        <v>No Criteria</v>
      </c>
      <c r="R62" s="417" t="str">
        <f>'data input for RPA'!O68</f>
        <v>No Criteria</v>
      </c>
      <c r="S62" s="407" t="str">
        <f t="shared" si="7"/>
        <v>Uo</v>
      </c>
      <c r="T62" s="465" t="str">
        <f t="shared" si="10"/>
        <v>Uo</v>
      </c>
      <c r="U62" s="105" t="str">
        <f t="shared" si="12"/>
        <v>No Criteria</v>
      </c>
      <c r="V62" s="452" t="str">
        <f t="shared" si="11"/>
        <v>No Criteria</v>
      </c>
    </row>
    <row r="63" spans="1:22" ht="15">
      <c r="A63" s="6">
        <v>58</v>
      </c>
      <c r="B63" s="7" t="s">
        <v>71</v>
      </c>
      <c r="C63" s="261">
        <f>Criteria!C69</f>
        <v>110000</v>
      </c>
      <c r="D63" s="100" t="str">
        <f>'data input for RPA'!C69</f>
        <v>Y</v>
      </c>
      <c r="E63" s="100" t="str">
        <f>IF('data input for RPA'!D69="","",'data input for RPA'!D69)</f>
        <v>Y</v>
      </c>
      <c r="F63" s="396">
        <f>IF('data input for RPA'!E69="","",'data input for RPA'!E69)</f>
        <v>1.8</v>
      </c>
      <c r="G63" s="396">
        <f>IF('data input for RPA'!F69="","",'data input for RPA'!F69)</f>
      </c>
      <c r="H63" s="9" t="str">
        <f t="shared" si="3"/>
        <v>All ND, MDL&lt;C, MEC=MDL</v>
      </c>
      <c r="I63" s="101">
        <f t="shared" si="4"/>
        <v>1.8</v>
      </c>
      <c r="J63" s="101" t="str">
        <f t="shared" si="5"/>
        <v>MEC&lt;C, go to Step 5</v>
      </c>
      <c r="K63" s="448"/>
      <c r="L63" s="417" t="str">
        <f>IF('data input for RPA'!I69="","",'data input for RPA'!I69)</f>
        <v>Y</v>
      </c>
      <c r="M63" s="417" t="str">
        <f>IF('data input for RPA'!J69="","",'data input for RPA'!J69)</f>
        <v>Y</v>
      </c>
      <c r="N63" s="434">
        <f>IF('data input for RPA'!K69="","",'data input for RPA'!K69)</f>
        <v>0.05</v>
      </c>
      <c r="O63" s="435">
        <f>IF('data input for RPA'!L69="","",'data input for RPA'!L69)</f>
      </c>
      <c r="P63" s="431" t="str">
        <f t="shared" si="6"/>
        <v>N</v>
      </c>
      <c r="Q63" s="468" t="str">
        <f t="shared" si="9"/>
        <v>No detected value of B, Step 7</v>
      </c>
      <c r="R63" s="417">
        <f>'data input for RPA'!O69</f>
      </c>
      <c r="S63" s="407" t="str">
        <f t="shared" si="7"/>
        <v>No</v>
      </c>
      <c r="T63" s="465" t="str">
        <f t="shared" si="10"/>
        <v>No</v>
      </c>
      <c r="U63" s="105" t="str">
        <f t="shared" si="12"/>
        <v>MEC&lt;C &amp; B is ND</v>
      </c>
      <c r="V63" s="452" t="str">
        <f t="shared" si="11"/>
        <v>MEC&lt;C &amp; B is ND</v>
      </c>
    </row>
    <row r="64" spans="1:22" ht="15">
      <c r="A64" s="6">
        <v>59</v>
      </c>
      <c r="B64" s="7" t="s">
        <v>72</v>
      </c>
      <c r="C64" s="261">
        <f>Criteria!C70</f>
        <v>0.00054</v>
      </c>
      <c r="D64" s="100" t="str">
        <f>'data input for RPA'!C70</f>
        <v>Y</v>
      </c>
      <c r="E64" s="100" t="str">
        <f>IF('data input for RPA'!D70="","",'data input for RPA'!D70)</f>
        <v>Y</v>
      </c>
      <c r="F64" s="396">
        <f>IF('data input for RPA'!E70="","",'data input for RPA'!E70)</f>
        <v>1</v>
      </c>
      <c r="G64" s="396">
        <f>IF('data input for RPA'!F70="","",'data input for RPA'!F70)</f>
      </c>
      <c r="H64" s="9" t="str">
        <f t="shared" si="3"/>
        <v>All ND, MinDL&gt;C, Go to Step 5, &amp; IM</v>
      </c>
      <c r="I64" s="101">
        <f t="shared" si="4"/>
      </c>
      <c r="J64" s="101">
        <f t="shared" si="5"/>
      </c>
      <c r="K64" s="448"/>
      <c r="L64" s="417" t="str">
        <f>IF('data input for RPA'!I70="","",'data input for RPA'!I70)</f>
        <v>Y</v>
      </c>
      <c r="M64" s="417" t="str">
        <f>IF('data input for RPA'!J70="","",'data input for RPA'!J70)</f>
        <v>Y</v>
      </c>
      <c r="N64" s="434">
        <f>IF('data input for RPA'!K70="","",'data input for RPA'!K70)</f>
        <v>1</v>
      </c>
      <c r="O64" s="435">
        <f>IF('data input for RPA'!L70="","",'data input for RPA'!L70)</f>
      </c>
      <c r="P64" s="431" t="str">
        <f t="shared" si="6"/>
        <v>Y</v>
      </c>
      <c r="Q64" s="468" t="str">
        <f t="shared" si="9"/>
        <v>No detected value of B, Step 7</v>
      </c>
      <c r="R64" s="417">
        <f>'data input for RPA'!O70</f>
      </c>
      <c r="S64" s="407" t="str">
        <f t="shared" si="7"/>
        <v>No</v>
      </c>
      <c r="T64" s="465" t="str">
        <f t="shared" si="10"/>
        <v>No</v>
      </c>
      <c r="U64" s="105" t="str">
        <f t="shared" si="12"/>
        <v>Effluent data and B are ND</v>
      </c>
      <c r="V64" s="452" t="str">
        <f t="shared" si="11"/>
        <v>Effluent data and B are ND</v>
      </c>
    </row>
    <row r="65" spans="1:22" ht="15">
      <c r="A65" s="6">
        <v>60</v>
      </c>
      <c r="B65" s="7" t="s">
        <v>73</v>
      </c>
      <c r="C65" s="261">
        <f>Criteria!C71</f>
        <v>0.049</v>
      </c>
      <c r="D65" s="100" t="str">
        <f>'data input for RPA'!C71</f>
        <v>Y</v>
      </c>
      <c r="E65" s="100" t="str">
        <f>IF('data input for RPA'!D71="","",'data input for RPA'!D71)</f>
        <v>Y</v>
      </c>
      <c r="F65" s="396">
        <f>IF('data input for RPA'!E71="","",'data input for RPA'!E71)</f>
        <v>3.3</v>
      </c>
      <c r="G65" s="396">
        <f>IF('data input for RPA'!F71="","",'data input for RPA'!F71)</f>
      </c>
      <c r="H65" s="9" t="str">
        <f t="shared" si="3"/>
        <v>All ND, MinDL&gt;C, Go to Step 5, &amp; IM</v>
      </c>
      <c r="I65" s="101">
        <f t="shared" si="4"/>
      </c>
      <c r="J65" s="101">
        <f t="shared" si="5"/>
      </c>
      <c r="K65" s="448"/>
      <c r="L65" s="417" t="str">
        <f>IF('data input for RPA'!I71="","",'data input for RPA'!I71)</f>
        <v>Y</v>
      </c>
      <c r="M65" s="417" t="str">
        <f>IF('data input for RPA'!J71="","",'data input for RPA'!J71)</f>
        <v>Y</v>
      </c>
      <c r="N65" s="434">
        <f>IF('data input for RPA'!K71="","",'data input for RPA'!K71)</f>
        <v>0.05</v>
      </c>
      <c r="O65" s="435">
        <f>IF('data input for RPA'!L71="","",'data input for RPA'!L71)</f>
      </c>
      <c r="P65" s="431" t="str">
        <f t="shared" si="6"/>
        <v>Y</v>
      </c>
      <c r="Q65" s="468" t="str">
        <f t="shared" si="9"/>
        <v>No detected value of B, Step 7</v>
      </c>
      <c r="R65" s="417">
        <f>'data input for RPA'!O71</f>
      </c>
      <c r="S65" s="407" t="str">
        <f t="shared" si="7"/>
        <v>No</v>
      </c>
      <c r="T65" s="465" t="str">
        <f t="shared" si="10"/>
        <v>No</v>
      </c>
      <c r="U65" s="105" t="str">
        <f t="shared" si="12"/>
        <v>Effluent data and B are ND</v>
      </c>
      <c r="V65" s="452" t="str">
        <f t="shared" si="11"/>
        <v>Effluent data and B are ND</v>
      </c>
    </row>
    <row r="66" spans="1:22" ht="15">
      <c r="A66" s="6">
        <v>61</v>
      </c>
      <c r="B66" s="7" t="s">
        <v>74</v>
      </c>
      <c r="C66" s="261">
        <f>Criteria!C72</f>
        <v>0.049</v>
      </c>
      <c r="D66" s="100" t="str">
        <f>'data input for RPA'!C72</f>
        <v>Y</v>
      </c>
      <c r="E66" s="100" t="str">
        <f>IF('data input for RPA'!D72="","",'data input for RPA'!D72)</f>
        <v>Y</v>
      </c>
      <c r="F66" s="396">
        <f>IF('data input for RPA'!E72="","",'data input for RPA'!E72)</f>
        <v>1.8</v>
      </c>
      <c r="G66" s="396">
        <f>IF('data input for RPA'!F72="","",'data input for RPA'!F72)</f>
      </c>
      <c r="H66" s="9" t="str">
        <f t="shared" si="3"/>
        <v>All ND, MinDL&gt;C, Go to Step 5, &amp; IM</v>
      </c>
      <c r="I66" s="101">
        <f t="shared" si="4"/>
      </c>
      <c r="J66" s="101">
        <f t="shared" si="5"/>
      </c>
      <c r="K66" s="448"/>
      <c r="L66" s="417" t="str">
        <f>IF('data input for RPA'!I72="","",'data input for RPA'!I72)</f>
        <v>Y</v>
      </c>
      <c r="M66" s="417" t="str">
        <f>IF('data input for RPA'!J72="","",'data input for RPA'!J72)</f>
        <v>Y</v>
      </c>
      <c r="N66" s="434">
        <f>IF('data input for RPA'!K72="","",'data input for RPA'!K72)</f>
        <v>0.05</v>
      </c>
      <c r="O66" s="435">
        <f>IF('data input for RPA'!L72="","",'data input for RPA'!L72)</f>
      </c>
      <c r="P66" s="431" t="str">
        <f t="shared" si="6"/>
        <v>Y</v>
      </c>
      <c r="Q66" s="468" t="str">
        <f t="shared" si="9"/>
        <v>No detected value of B, Step 7</v>
      </c>
      <c r="R66" s="417">
        <f>'data input for RPA'!O72</f>
      </c>
      <c r="S66" s="407" t="str">
        <f t="shared" si="7"/>
        <v>No</v>
      </c>
      <c r="T66" s="465" t="str">
        <f t="shared" si="10"/>
        <v>No</v>
      </c>
      <c r="U66" s="105" t="str">
        <f t="shared" si="12"/>
        <v>Effluent data and B are ND</v>
      </c>
      <c r="V66" s="452" t="str">
        <f t="shared" si="11"/>
        <v>Effluent data and B are ND</v>
      </c>
    </row>
    <row r="67" spans="1:22" ht="15">
      <c r="A67" s="6">
        <v>62</v>
      </c>
      <c r="B67" s="7" t="s">
        <v>75</v>
      </c>
      <c r="C67" s="261">
        <f>Criteria!C73</f>
        <v>0.049</v>
      </c>
      <c r="D67" s="100" t="str">
        <f>'data input for RPA'!C73</f>
        <v>Y</v>
      </c>
      <c r="E67" s="100" t="str">
        <f>IF('data input for RPA'!D73="","",'data input for RPA'!D73)</f>
        <v>Y</v>
      </c>
      <c r="F67" s="396">
        <f>IF('data input for RPA'!E73="","",'data input for RPA'!E73)</f>
        <v>2.9</v>
      </c>
      <c r="G67" s="396">
        <f>IF('data input for RPA'!F73="","",'data input for RPA'!F73)</f>
      </c>
      <c r="H67" s="9" t="str">
        <f t="shared" si="3"/>
        <v>All ND, MinDL&gt;C, Go to Step 5, &amp; IM</v>
      </c>
      <c r="I67" s="101">
        <f t="shared" si="4"/>
      </c>
      <c r="J67" s="101">
        <f t="shared" si="5"/>
      </c>
      <c r="K67" s="448"/>
      <c r="L67" s="417" t="str">
        <f>IF('data input for RPA'!I73="","",'data input for RPA'!I73)</f>
        <v>Y</v>
      </c>
      <c r="M67" s="417" t="str">
        <f>IF('data input for RPA'!J73="","",'data input for RPA'!J73)</f>
        <v>Y</v>
      </c>
      <c r="N67" s="434">
        <f>IF('data input for RPA'!K73="","",'data input for RPA'!K73)</f>
        <v>0.05</v>
      </c>
      <c r="O67" s="435">
        <f>IF('data input for RPA'!L73="","",'data input for RPA'!L73)</f>
      </c>
      <c r="P67" s="431" t="str">
        <f t="shared" si="6"/>
        <v>Y</v>
      </c>
      <c r="Q67" s="468" t="str">
        <f t="shared" si="9"/>
        <v>No detected value of B, Step 7</v>
      </c>
      <c r="R67" s="417">
        <f>'data input for RPA'!O73</f>
      </c>
      <c r="S67" s="407" t="str">
        <f t="shared" si="7"/>
        <v>No</v>
      </c>
      <c r="T67" s="465" t="str">
        <f t="shared" si="10"/>
        <v>No</v>
      </c>
      <c r="U67" s="105" t="str">
        <f t="shared" si="12"/>
        <v>Effluent data and B are ND</v>
      </c>
      <c r="V67" s="452" t="str">
        <f t="shared" si="11"/>
        <v>Effluent data and B are ND</v>
      </c>
    </row>
    <row r="68" spans="1:22" ht="15">
      <c r="A68" s="6">
        <v>63</v>
      </c>
      <c r="B68" s="7" t="s">
        <v>76</v>
      </c>
      <c r="C68" s="261" t="str">
        <f>Criteria!C74</f>
        <v>No Criteria</v>
      </c>
      <c r="D68" s="100" t="str">
        <f>'data input for RPA'!C74</f>
        <v>Y</v>
      </c>
      <c r="E68" s="100" t="str">
        <f>IF('data input for RPA'!D74="","",'data input for RPA'!D74)</f>
        <v>Y</v>
      </c>
      <c r="F68" s="396">
        <f>IF('data input for RPA'!E74="","",'data input for RPA'!E74)</f>
        <v>1.8</v>
      </c>
      <c r="G68" s="396">
        <f>IF('data input for RPA'!F74="","",'data input for RPA'!F74)</f>
      </c>
      <c r="H68" s="9" t="str">
        <f t="shared" si="3"/>
        <v>No Criteria</v>
      </c>
      <c r="I68" s="101" t="str">
        <f t="shared" si="4"/>
        <v>No Criteria</v>
      </c>
      <c r="J68" s="101" t="str">
        <f t="shared" si="5"/>
        <v>No Criteria</v>
      </c>
      <c r="K68" s="448"/>
      <c r="L68" s="417" t="str">
        <f>IF('data input for RPA'!I74="","",'data input for RPA'!I74)</f>
        <v>Y</v>
      </c>
      <c r="M68" s="417" t="str">
        <f>IF('data input for RPA'!J74="","",'data input for RPA'!J74)</f>
        <v>Y</v>
      </c>
      <c r="N68" s="434">
        <f>IF('data input for RPA'!K74="","",'data input for RPA'!K74)</f>
        <v>0.1</v>
      </c>
      <c r="O68" s="435">
        <f>IF('data input for RPA'!L74="","",'data input for RPA'!L74)</f>
      </c>
      <c r="P68" s="431" t="str">
        <f t="shared" si="6"/>
        <v>N</v>
      </c>
      <c r="Q68" s="468" t="str">
        <f t="shared" si="9"/>
        <v>No Criteria</v>
      </c>
      <c r="R68" s="417" t="str">
        <f>'data input for RPA'!O74</f>
        <v>No Criteria</v>
      </c>
      <c r="S68" s="407" t="str">
        <f t="shared" si="7"/>
        <v>Uo</v>
      </c>
      <c r="T68" s="465" t="str">
        <f t="shared" si="10"/>
        <v>Uo</v>
      </c>
      <c r="U68" s="105" t="str">
        <f t="shared" si="12"/>
        <v>No Criteria</v>
      </c>
      <c r="V68" s="452" t="str">
        <f t="shared" si="11"/>
        <v>No Criteria</v>
      </c>
    </row>
    <row r="69" spans="1:22" ht="15">
      <c r="A69" s="6">
        <v>64</v>
      </c>
      <c r="B69" s="7" t="s">
        <v>77</v>
      </c>
      <c r="C69" s="261">
        <f>Criteria!C75</f>
        <v>0.049</v>
      </c>
      <c r="D69" s="100" t="str">
        <f>'data input for RPA'!C75</f>
        <v>Y</v>
      </c>
      <c r="E69" s="100" t="str">
        <f>IF('data input for RPA'!D75="","",'data input for RPA'!D75)</f>
        <v>Y</v>
      </c>
      <c r="F69" s="396">
        <f>IF('data input for RPA'!E75="","",'data input for RPA'!E75)</f>
        <v>0.2</v>
      </c>
      <c r="G69" s="396">
        <f>IF('data input for RPA'!F75="","",'data input for RPA'!F75)</f>
      </c>
      <c r="H69" s="9" t="str">
        <f t="shared" si="3"/>
        <v>All ND, MinDL&gt;C, Go to Step 5, &amp; IM</v>
      </c>
      <c r="I69" s="101">
        <f t="shared" si="4"/>
      </c>
      <c r="J69" s="101">
        <f t="shared" si="5"/>
      </c>
      <c r="K69" s="448"/>
      <c r="L69" s="417" t="str">
        <f>IF('data input for RPA'!I75="","",'data input for RPA'!I75)</f>
        <v>Y</v>
      </c>
      <c r="M69" s="417" t="str">
        <f>IF('data input for RPA'!J75="","",'data input for RPA'!J75)</f>
        <v>Y</v>
      </c>
      <c r="N69" s="434">
        <f>IF('data input for RPA'!K75="","",'data input for RPA'!K75)</f>
        <v>0.05</v>
      </c>
      <c r="O69" s="435">
        <f>IF('data input for RPA'!L75="","",'data input for RPA'!L75)</f>
      </c>
      <c r="P69" s="431" t="str">
        <f t="shared" si="6"/>
        <v>Y</v>
      </c>
      <c r="Q69" s="468" t="str">
        <f t="shared" si="9"/>
        <v>No detected value of B, Step 7</v>
      </c>
      <c r="R69" s="417">
        <f>'data input for RPA'!O75</f>
      </c>
      <c r="S69" s="407" t="str">
        <f aca="true" t="shared" si="16" ref="S69:S127">IF(C69="No Criteria","Uo",IF(D69="N",IF(L69="N","Ud",IF(M69="Y","No",IF(O69&gt;C69,"Yes","Ud"))),IF(H69="All ND, MinDL&gt;C, Go to Step 5, &amp; IM",IF(L69="N","No",IF(M69="Y","No",IF(O69&gt;C69,"Yes","No"))),IF(I69="No Criteria","Uo",IF(OR(I69&gt;C69,I69=C69),"Yes",IF(M69="N",IF(AND(O69&gt;C69,E69="N"),"Yes","No"),"No"))))))</f>
        <v>No</v>
      </c>
      <c r="T69" s="465" t="str">
        <f t="shared" si="10"/>
        <v>No</v>
      </c>
      <c r="U69" s="105" t="str">
        <f t="shared" si="12"/>
        <v>Effluent data and B are ND</v>
      </c>
      <c r="V69" s="452" t="str">
        <f t="shared" si="11"/>
        <v>Effluent data and B are ND</v>
      </c>
    </row>
    <row r="70" spans="1:22" ht="15">
      <c r="A70" s="6">
        <v>65</v>
      </c>
      <c r="B70" s="7" t="s">
        <v>78</v>
      </c>
      <c r="C70" s="261" t="str">
        <f>Criteria!C76</f>
        <v>No Criteria</v>
      </c>
      <c r="D70" s="100" t="str">
        <f>'data input for RPA'!C76</f>
        <v>Y</v>
      </c>
      <c r="E70" s="100" t="str">
        <f>IF('data input for RPA'!D76="","",'data input for RPA'!D76)</f>
        <v>Y</v>
      </c>
      <c r="F70" s="396">
        <f>IF('data input for RPA'!E76="","",'data input for RPA'!E76)</f>
        <v>1</v>
      </c>
      <c r="G70" s="396">
        <f>IF('data input for RPA'!F76="","",'data input for RPA'!F76)</f>
      </c>
      <c r="H70" s="9" t="str">
        <f aca="true" t="shared" si="17" ref="H70:H127">IF(C70="No Criteria","No Criteria",IF(D70="N","No effluent data",IF(E70="N","",IF(F70&lt;C70,"All ND, MDL&lt;C, MEC=MDL","All ND, MinDL&gt;C, Go to Step 5, &amp; IM"))))</f>
        <v>No Criteria</v>
      </c>
      <c r="I70" s="101" t="str">
        <f aca="true" t="shared" si="18" ref="I70:I127">IF(C70="No Criteria","No Criteria",IF(D70="N","",IF(E70="N",G70,IF(H70="All ND, MDL&lt;C, MEC=MDL",F70,""))))</f>
        <v>No Criteria</v>
      </c>
      <c r="J70" s="101" t="str">
        <f aca="true" t="shared" si="19" ref="J70:J127">IF(C70="No Criteria","No Criteria",IF(I70="","",IF(I70&gt;=C70,"MEC&gt;=C, Effluent Limits Required","MEC&lt;C, go to Step 5")))</f>
        <v>No Criteria</v>
      </c>
      <c r="K70" s="448"/>
      <c r="L70" s="417" t="str">
        <f>IF('data input for RPA'!I76="","",'data input for RPA'!I76)</f>
        <v>Y</v>
      </c>
      <c r="M70" s="417" t="str">
        <f>IF('data input for RPA'!J76="","",'data input for RPA'!J76)</f>
        <v>Y</v>
      </c>
      <c r="N70" s="434">
        <f>IF('data input for RPA'!K76="","",'data input for RPA'!K76)</f>
        <v>1</v>
      </c>
      <c r="O70" s="435">
        <f>IF('data input for RPA'!L76="","",'data input for RPA'!L76)</f>
      </c>
      <c r="P70" s="431" t="str">
        <f aca="true" t="shared" si="20" ref="P70:P127">IF(N70="","",IF(N70&gt;C70,"Y","N"))</f>
        <v>N</v>
      </c>
      <c r="Q70" s="468" t="str">
        <f t="shared" si="9"/>
        <v>No Criteria</v>
      </c>
      <c r="R70" s="417" t="str">
        <f>'data input for RPA'!O76</f>
        <v>No Criteria</v>
      </c>
      <c r="S70" s="407" t="str">
        <f t="shared" si="16"/>
        <v>Uo</v>
      </c>
      <c r="T70" s="465" t="str">
        <f t="shared" si="10"/>
        <v>Uo</v>
      </c>
      <c r="U70" s="105" t="str">
        <f t="shared" si="12"/>
        <v>No Criteria</v>
      </c>
      <c r="V70" s="452" t="str">
        <f t="shared" si="11"/>
        <v>No Criteria</v>
      </c>
    </row>
    <row r="71" spans="1:22" ht="15">
      <c r="A71" s="6">
        <v>66</v>
      </c>
      <c r="B71" s="7" t="s">
        <v>79</v>
      </c>
      <c r="C71" s="261">
        <f>Criteria!C77</f>
        <v>1.4</v>
      </c>
      <c r="D71" s="100" t="str">
        <f>'data input for RPA'!C77</f>
        <v>Y</v>
      </c>
      <c r="E71" s="100" t="str">
        <f>IF('data input for RPA'!D77="","",'data input for RPA'!D77)</f>
        <v>Y</v>
      </c>
      <c r="F71" s="396">
        <f>IF('data input for RPA'!E77="","",'data input for RPA'!E77)</f>
        <v>0.5</v>
      </c>
      <c r="G71" s="396">
        <f>IF('data input for RPA'!F77="","",'data input for RPA'!F77)</f>
      </c>
      <c r="H71" s="9" t="str">
        <f t="shared" si="17"/>
        <v>All ND, MDL&lt;C, MEC=MDL</v>
      </c>
      <c r="I71" s="101">
        <f t="shared" si="18"/>
        <v>0.5</v>
      </c>
      <c r="J71" s="101" t="str">
        <f t="shared" si="19"/>
        <v>MEC&lt;C, go to Step 5</v>
      </c>
      <c r="K71" s="448"/>
      <c r="L71" s="417" t="str">
        <f>IF('data input for RPA'!I77="","",'data input for RPA'!I77)</f>
        <v>Y</v>
      </c>
      <c r="M71" s="417" t="str">
        <f>IF('data input for RPA'!J77="","",'data input for RPA'!J77)</f>
        <v>Y</v>
      </c>
      <c r="N71" s="434">
        <f>IF('data input for RPA'!K77="","",'data input for RPA'!K77)</f>
        <v>0.5</v>
      </c>
      <c r="O71" s="435">
        <f>IF('data input for RPA'!L77="","",'data input for RPA'!L77)</f>
      </c>
      <c r="P71" s="431" t="str">
        <f t="shared" si="20"/>
        <v>N</v>
      </c>
      <c r="Q71" s="468" t="str">
        <f t="shared" si="9"/>
        <v>No detected value of B, Step 7</v>
      </c>
      <c r="R71" s="417">
        <f>'data input for RPA'!O77</f>
      </c>
      <c r="S71" s="407" t="str">
        <f t="shared" si="16"/>
        <v>No</v>
      </c>
      <c r="T71" s="465" t="str">
        <f t="shared" si="10"/>
        <v>No</v>
      </c>
      <c r="U71" s="105" t="str">
        <f t="shared" si="12"/>
        <v>MEC&lt;C &amp; B is ND</v>
      </c>
      <c r="V71" s="452" t="str">
        <f t="shared" si="11"/>
        <v>MEC&lt;C &amp; B is ND</v>
      </c>
    </row>
    <row r="72" spans="1:22" ht="15">
      <c r="A72" s="6">
        <v>67</v>
      </c>
      <c r="B72" s="7" t="s">
        <v>80</v>
      </c>
      <c r="C72" s="261">
        <f>Criteria!C78</f>
        <v>170000</v>
      </c>
      <c r="D72" s="100" t="str">
        <f>'data input for RPA'!C78</f>
        <v>Y</v>
      </c>
      <c r="E72" s="100" t="str">
        <f>IF('data input for RPA'!D78="","",'data input for RPA'!D78)</f>
        <v>Y</v>
      </c>
      <c r="F72" s="396">
        <f>IF('data input for RPA'!E78="","",'data input for RPA'!E78)</f>
        <v>0.5</v>
      </c>
      <c r="G72" s="396">
        <f>IF('data input for RPA'!F78="","",'data input for RPA'!F78)</f>
      </c>
      <c r="H72" s="9" t="str">
        <f t="shared" si="17"/>
        <v>All ND, MDL&lt;C, MEC=MDL</v>
      </c>
      <c r="I72" s="101">
        <f t="shared" si="18"/>
        <v>0.5</v>
      </c>
      <c r="J72" s="101" t="str">
        <f t="shared" si="19"/>
        <v>MEC&lt;C, go to Step 5</v>
      </c>
      <c r="K72" s="448"/>
      <c r="L72" s="417" t="str">
        <f>IF('data input for RPA'!I78="","",'data input for RPA'!I78)</f>
        <v>Y</v>
      </c>
      <c r="M72" s="417" t="str">
        <f>IF('data input for RPA'!J78="","",'data input for RPA'!J78)</f>
        <v>Y</v>
      </c>
      <c r="N72" s="434">
        <f>IF('data input for RPA'!K78="","",'data input for RPA'!K78)</f>
        <v>0.5</v>
      </c>
      <c r="O72" s="435">
        <f>IF('data input for RPA'!L78="","",'data input for RPA'!L78)</f>
      </c>
      <c r="P72" s="431" t="str">
        <f t="shared" si="20"/>
        <v>N</v>
      </c>
      <c r="Q72" s="468" t="str">
        <f t="shared" si="9"/>
        <v>No detected value of B, Step 7</v>
      </c>
      <c r="R72" s="417">
        <f>'data input for RPA'!O78</f>
      </c>
      <c r="S72" s="407" t="str">
        <f t="shared" si="16"/>
        <v>No</v>
      </c>
      <c r="T72" s="465" t="str">
        <f t="shared" si="10"/>
        <v>No</v>
      </c>
      <c r="U72" s="105" t="str">
        <f t="shared" si="12"/>
        <v>MEC&lt;C &amp; B is ND</v>
      </c>
      <c r="V72" s="452" t="str">
        <f t="shared" si="11"/>
        <v>MEC&lt;C &amp; B is ND</v>
      </c>
    </row>
    <row r="73" spans="1:22" ht="15">
      <c r="A73" s="6">
        <v>68</v>
      </c>
      <c r="B73" s="7" t="s">
        <v>81</v>
      </c>
      <c r="C73" s="261">
        <f>Criteria!C79</f>
        <v>5.9</v>
      </c>
      <c r="D73" s="100" t="str">
        <f>'data input for RPA'!C79</f>
        <v>Y</v>
      </c>
      <c r="E73" s="100" t="str">
        <f>IF('data input for RPA'!D79="","",'data input for RPA'!D79)</f>
        <v>Y</v>
      </c>
      <c r="F73" s="396">
        <f>IF('data input for RPA'!E79="","",'data input for RPA'!E79)</f>
        <v>2</v>
      </c>
      <c r="G73" s="396">
        <f>IF('data input for RPA'!F79="","",'data input for RPA'!F79)</f>
      </c>
      <c r="H73" s="9" t="str">
        <f t="shared" si="17"/>
        <v>All ND, MDL&lt;C, MEC=MDL</v>
      </c>
      <c r="I73" s="101">
        <f t="shared" si="18"/>
        <v>2</v>
      </c>
      <c r="J73" s="101" t="str">
        <f t="shared" si="19"/>
        <v>MEC&lt;C, go to Step 5</v>
      </c>
      <c r="K73" s="448"/>
      <c r="L73" s="417" t="str">
        <f>IF('data input for RPA'!I79="","",'data input for RPA'!I79)</f>
        <v>Y</v>
      </c>
      <c r="M73" s="417" t="str">
        <f>IF('data input for RPA'!J79="","",'data input for RPA'!J79)</f>
        <v>N</v>
      </c>
      <c r="N73" s="434">
        <f>IF('data input for RPA'!K79="","",'data input for RPA'!K79)</f>
      </c>
      <c r="O73" s="435">
        <f>IF('data input for RPA'!L79="","",'data input for RPA'!L79)</f>
        <v>3</v>
      </c>
      <c r="P73" s="431">
        <f t="shared" si="20"/>
      </c>
      <c r="Q73" s="468" t="str">
        <f t="shared" si="9"/>
        <v>B&lt;C, Step 7</v>
      </c>
      <c r="R73" s="417">
        <f>'data input for RPA'!O79</f>
      </c>
      <c r="S73" s="407" t="str">
        <f t="shared" si="16"/>
        <v>No</v>
      </c>
      <c r="T73" s="465" t="str">
        <f t="shared" si="10"/>
        <v>No</v>
      </c>
      <c r="U73" s="105" t="str">
        <f t="shared" si="12"/>
        <v>MEC&lt;C &amp; B&lt;C</v>
      </c>
      <c r="V73" s="452" t="str">
        <f t="shared" si="11"/>
        <v>MEC&lt;C &amp; B&lt;C</v>
      </c>
    </row>
    <row r="74" spans="1:22" ht="15">
      <c r="A74" s="6">
        <v>69</v>
      </c>
      <c r="B74" s="7" t="s">
        <v>82</v>
      </c>
      <c r="C74" s="261" t="str">
        <f>Criteria!C80</f>
        <v>No Criteria</v>
      </c>
      <c r="D74" s="100" t="str">
        <f>'data input for RPA'!C80</f>
        <v>Y</v>
      </c>
      <c r="E74" s="100" t="str">
        <f>IF('data input for RPA'!D80="","",'data input for RPA'!D80)</f>
        <v>Y</v>
      </c>
      <c r="F74" s="396">
        <f>IF('data input for RPA'!E80="","",'data input for RPA'!E80)</f>
        <v>1</v>
      </c>
      <c r="G74" s="396">
        <f>IF('data input for RPA'!F80="","",'data input for RPA'!F80)</f>
      </c>
      <c r="H74" s="9" t="str">
        <f t="shared" si="17"/>
        <v>No Criteria</v>
      </c>
      <c r="I74" s="101" t="str">
        <f t="shared" si="18"/>
        <v>No Criteria</v>
      </c>
      <c r="J74" s="101" t="str">
        <f t="shared" si="19"/>
        <v>No Criteria</v>
      </c>
      <c r="K74" s="448"/>
      <c r="L74" s="417" t="str">
        <f>IF('data input for RPA'!I80="","",'data input for RPA'!I80)</f>
        <v>Y</v>
      </c>
      <c r="M74" s="417" t="str">
        <f>IF('data input for RPA'!J80="","",'data input for RPA'!J80)</f>
        <v>Y</v>
      </c>
      <c r="N74" s="434">
        <f>IF('data input for RPA'!K80="","",'data input for RPA'!K80)</f>
        <v>1</v>
      </c>
      <c r="O74" s="435">
        <f>IF('data input for RPA'!L80="","",'data input for RPA'!L80)</f>
      </c>
      <c r="P74" s="431" t="str">
        <f t="shared" si="20"/>
        <v>N</v>
      </c>
      <c r="Q74" s="468" t="str">
        <f t="shared" si="9"/>
        <v>No Criteria</v>
      </c>
      <c r="R74" s="417" t="str">
        <f>'data input for RPA'!O80</f>
        <v>No Criteria</v>
      </c>
      <c r="S74" s="407" t="str">
        <f t="shared" si="16"/>
        <v>Uo</v>
      </c>
      <c r="T74" s="465" t="str">
        <f t="shared" si="10"/>
        <v>Uo</v>
      </c>
      <c r="U74" s="105" t="str">
        <f t="shared" si="12"/>
        <v>No Criteria</v>
      </c>
      <c r="V74" s="452" t="str">
        <f t="shared" si="11"/>
        <v>No Criteria</v>
      </c>
    </row>
    <row r="75" spans="1:22" ht="15">
      <c r="A75" s="6">
        <v>70</v>
      </c>
      <c r="B75" s="7" t="s">
        <v>83</v>
      </c>
      <c r="C75" s="261">
        <f>Criteria!C81</f>
        <v>5200</v>
      </c>
      <c r="D75" s="100" t="str">
        <f>'data input for RPA'!C81</f>
        <v>Y</v>
      </c>
      <c r="E75" s="100" t="str">
        <f>IF('data input for RPA'!D81="","",'data input for RPA'!D81)</f>
        <v>Y</v>
      </c>
      <c r="F75" s="396">
        <f>IF('data input for RPA'!E81="","",'data input for RPA'!E81)</f>
        <v>1</v>
      </c>
      <c r="G75" s="396">
        <f>IF('data input for RPA'!F81="","",'data input for RPA'!F81)</f>
      </c>
      <c r="H75" s="9" t="str">
        <f t="shared" si="17"/>
        <v>All ND, MDL&lt;C, MEC=MDL</v>
      </c>
      <c r="I75" s="101">
        <f t="shared" si="18"/>
        <v>1</v>
      </c>
      <c r="J75" s="101" t="str">
        <f t="shared" si="19"/>
        <v>MEC&lt;C, go to Step 5</v>
      </c>
      <c r="K75" s="448"/>
      <c r="L75" s="417" t="str">
        <f>IF('data input for RPA'!I81="","",'data input for RPA'!I81)</f>
        <v>Y</v>
      </c>
      <c r="M75" s="417" t="str">
        <f>IF('data input for RPA'!J81="","",'data input for RPA'!J81)</f>
        <v>Y</v>
      </c>
      <c r="N75" s="434">
        <f>IF('data input for RPA'!K81="","",'data input for RPA'!K81)</f>
        <v>1</v>
      </c>
      <c r="O75" s="435">
        <f>IF('data input for RPA'!L81="","",'data input for RPA'!L81)</f>
      </c>
      <c r="P75" s="431" t="str">
        <f t="shared" si="20"/>
        <v>N</v>
      </c>
      <c r="Q75" s="468" t="str">
        <f t="shared" si="9"/>
        <v>No detected value of B, Step 7</v>
      </c>
      <c r="R75" s="417">
        <f>'data input for RPA'!O81</f>
      </c>
      <c r="S75" s="407" t="str">
        <f t="shared" si="16"/>
        <v>No</v>
      </c>
      <c r="T75" s="465" t="str">
        <f t="shared" si="10"/>
        <v>No</v>
      </c>
      <c r="U75" s="105" t="str">
        <f t="shared" si="12"/>
        <v>MEC&lt;C &amp; B is ND</v>
      </c>
      <c r="V75" s="452" t="str">
        <f t="shared" si="11"/>
        <v>MEC&lt;C &amp; B is ND</v>
      </c>
    </row>
    <row r="76" spans="1:22" ht="15">
      <c r="A76" s="6">
        <v>71</v>
      </c>
      <c r="B76" s="7" t="s">
        <v>84</v>
      </c>
      <c r="C76" s="261">
        <f>Criteria!C82</f>
        <v>4300</v>
      </c>
      <c r="D76" s="100" t="str">
        <f>'data input for RPA'!C82</f>
        <v>Y</v>
      </c>
      <c r="E76" s="100" t="str">
        <f>IF('data input for RPA'!D82="","",'data input for RPA'!D82)</f>
        <v>Y</v>
      </c>
      <c r="F76" s="396">
        <f>IF('data input for RPA'!E82="","",'data input for RPA'!E82)</f>
        <v>1</v>
      </c>
      <c r="G76" s="396">
        <f>IF('data input for RPA'!F82="","",'data input for RPA'!F82)</f>
      </c>
      <c r="H76" s="9" t="str">
        <f t="shared" si="17"/>
        <v>All ND, MDL&lt;C, MEC=MDL</v>
      </c>
      <c r="I76" s="101">
        <f t="shared" si="18"/>
        <v>1</v>
      </c>
      <c r="J76" s="101" t="str">
        <f t="shared" si="19"/>
        <v>MEC&lt;C, go to Step 5</v>
      </c>
      <c r="K76" s="448"/>
      <c r="L76" s="417" t="str">
        <f>IF('data input for RPA'!I82="","",'data input for RPA'!I82)</f>
        <v>Y</v>
      </c>
      <c r="M76" s="417" t="str">
        <f>IF('data input for RPA'!J82="","",'data input for RPA'!J82)</f>
        <v>Y</v>
      </c>
      <c r="N76" s="434">
        <f>IF('data input for RPA'!K82="","",'data input for RPA'!K82)</f>
        <v>1</v>
      </c>
      <c r="O76" s="435">
        <f>IF('data input for RPA'!L82="","",'data input for RPA'!L82)</f>
      </c>
      <c r="P76" s="431" t="str">
        <f t="shared" si="20"/>
        <v>N</v>
      </c>
      <c r="Q76" s="468" t="str">
        <f t="shared" si="9"/>
        <v>No detected value of B, Step 7</v>
      </c>
      <c r="R76" s="417">
        <f>'data input for RPA'!O82</f>
      </c>
      <c r="S76" s="407" t="str">
        <f t="shared" si="16"/>
        <v>No</v>
      </c>
      <c r="T76" s="465" t="str">
        <f t="shared" si="10"/>
        <v>No</v>
      </c>
      <c r="U76" s="105" t="str">
        <f t="shared" si="12"/>
        <v>MEC&lt;C &amp; B is ND</v>
      </c>
      <c r="V76" s="452" t="str">
        <f t="shared" si="11"/>
        <v>MEC&lt;C &amp; B is ND</v>
      </c>
    </row>
    <row r="77" spans="1:22" ht="15">
      <c r="A77" s="6">
        <v>72</v>
      </c>
      <c r="B77" s="7" t="s">
        <v>85</v>
      </c>
      <c r="C77" s="261" t="str">
        <f>Criteria!C83</f>
        <v>No Criteria</v>
      </c>
      <c r="D77" s="100" t="str">
        <f>'data input for RPA'!C83</f>
        <v>Y</v>
      </c>
      <c r="E77" s="100" t="str">
        <f>IF('data input for RPA'!D83="","",'data input for RPA'!D83)</f>
        <v>Y</v>
      </c>
      <c r="F77" s="396">
        <f>IF('data input for RPA'!E83="","",'data input for RPA'!E83)</f>
        <v>1</v>
      </c>
      <c r="G77" s="396">
        <f>IF('data input for RPA'!F83="","",'data input for RPA'!F83)</f>
      </c>
      <c r="H77" s="9" t="str">
        <f t="shared" si="17"/>
        <v>No Criteria</v>
      </c>
      <c r="I77" s="101" t="str">
        <f t="shared" si="18"/>
        <v>No Criteria</v>
      </c>
      <c r="J77" s="101" t="str">
        <f t="shared" si="19"/>
        <v>No Criteria</v>
      </c>
      <c r="K77" s="448"/>
      <c r="L77" s="417" t="str">
        <f>IF('data input for RPA'!I83="","",'data input for RPA'!I83)</f>
        <v>Y</v>
      </c>
      <c r="M77" s="417" t="str">
        <f>IF('data input for RPA'!J83="","",'data input for RPA'!J83)</f>
        <v>Y</v>
      </c>
      <c r="N77" s="434">
        <f>IF('data input for RPA'!K83="","",'data input for RPA'!K83)</f>
        <v>1</v>
      </c>
      <c r="O77" s="435">
        <f>IF('data input for RPA'!L83="","",'data input for RPA'!L83)</f>
      </c>
      <c r="P77" s="431" t="str">
        <f t="shared" si="20"/>
        <v>N</v>
      </c>
      <c r="Q77" s="468" t="str">
        <f t="shared" si="9"/>
        <v>No Criteria</v>
      </c>
      <c r="R77" s="417" t="str">
        <f>'data input for RPA'!O83</f>
        <v>No Criteria</v>
      </c>
      <c r="S77" s="407" t="str">
        <f t="shared" si="16"/>
        <v>Uo</v>
      </c>
      <c r="T77" s="465" t="str">
        <f t="shared" si="10"/>
        <v>Uo</v>
      </c>
      <c r="U77" s="105" t="str">
        <f t="shared" si="12"/>
        <v>No Criteria</v>
      </c>
      <c r="V77" s="452" t="str">
        <f t="shared" si="11"/>
        <v>No Criteria</v>
      </c>
    </row>
    <row r="78" spans="1:22" ht="15">
      <c r="A78" s="6">
        <v>73</v>
      </c>
      <c r="B78" s="7" t="s">
        <v>86</v>
      </c>
      <c r="C78" s="261">
        <f>Criteria!C84</f>
        <v>0.049</v>
      </c>
      <c r="D78" s="100" t="str">
        <f>'data input for RPA'!C84</f>
        <v>Y</v>
      </c>
      <c r="E78" s="100" t="str">
        <f>IF('data input for RPA'!D84="","",'data input for RPA'!D84)</f>
        <v>Y</v>
      </c>
      <c r="F78" s="396">
        <f>IF('data input for RPA'!E84="","",'data input for RPA'!E84)</f>
        <v>3.3</v>
      </c>
      <c r="G78" s="396">
        <f>IF('data input for RPA'!F84="","",'data input for RPA'!F84)</f>
      </c>
      <c r="H78" s="9" t="str">
        <f t="shared" si="17"/>
        <v>All ND, MinDL&gt;C, Go to Step 5, &amp; IM</v>
      </c>
      <c r="I78" s="101">
        <f t="shared" si="18"/>
      </c>
      <c r="J78" s="101">
        <f t="shared" si="19"/>
      </c>
      <c r="K78" s="448"/>
      <c r="L78" s="417" t="str">
        <f>IF('data input for RPA'!I84="","",'data input for RPA'!I84)</f>
        <v>Y</v>
      </c>
      <c r="M78" s="417" t="str">
        <f>IF('data input for RPA'!J84="","",'data input for RPA'!J84)</f>
        <v>Y</v>
      </c>
      <c r="N78" s="434">
        <f>IF('data input for RPA'!K84="","",'data input for RPA'!K84)</f>
        <v>0.05</v>
      </c>
      <c r="O78" s="435">
        <f>IF('data input for RPA'!L84="","",'data input for RPA'!L84)</f>
      </c>
      <c r="P78" s="431" t="str">
        <f t="shared" si="20"/>
        <v>Y</v>
      </c>
      <c r="Q78" s="468" t="str">
        <f t="shared" si="9"/>
        <v>No detected value of B, Step 7</v>
      </c>
      <c r="R78" s="417">
        <f>'data input for RPA'!O84</f>
      </c>
      <c r="S78" s="407" t="str">
        <f t="shared" si="16"/>
        <v>No</v>
      </c>
      <c r="T78" s="465" t="str">
        <f t="shared" si="10"/>
        <v>No</v>
      </c>
      <c r="U78" s="105" t="str">
        <f t="shared" si="12"/>
        <v>Effluent data and B are ND</v>
      </c>
      <c r="V78" s="452" t="str">
        <f t="shared" si="11"/>
        <v>Effluent data and B are ND</v>
      </c>
    </row>
    <row r="79" spans="1:22" ht="15">
      <c r="A79" s="6">
        <v>74</v>
      </c>
      <c r="B79" s="7" t="s">
        <v>87</v>
      </c>
      <c r="C79" s="261">
        <f>Criteria!C85</f>
        <v>0.049</v>
      </c>
      <c r="D79" s="100" t="str">
        <f>'data input for RPA'!C85</f>
        <v>Y</v>
      </c>
      <c r="E79" s="100" t="str">
        <f>IF('data input for RPA'!D85="","",'data input for RPA'!D85)</f>
        <v>Y</v>
      </c>
      <c r="F79" s="396">
        <f>IF('data input for RPA'!E85="","",'data input for RPA'!E85)</f>
        <v>0.59</v>
      </c>
      <c r="G79" s="396">
        <f>IF('data input for RPA'!F85="","",'data input for RPA'!F85)</f>
      </c>
      <c r="H79" s="9" t="str">
        <f t="shared" si="17"/>
        <v>All ND, MinDL&gt;C, Go to Step 5, &amp; IM</v>
      </c>
      <c r="I79" s="101">
        <f t="shared" si="18"/>
      </c>
      <c r="J79" s="101">
        <f t="shared" si="19"/>
      </c>
      <c r="K79" s="448"/>
      <c r="L79" s="417" t="str">
        <f>IF('data input for RPA'!I85="","",'data input for RPA'!I85)</f>
        <v>Y</v>
      </c>
      <c r="M79" s="417" t="str">
        <f>IF('data input for RPA'!J85="","",'data input for RPA'!J85)</f>
        <v>Y</v>
      </c>
      <c r="N79" s="434">
        <f>IF('data input for RPA'!K85="","",'data input for RPA'!K85)</f>
        <v>0.1</v>
      </c>
      <c r="O79" s="435">
        <f>IF('data input for RPA'!L85="","",'data input for RPA'!L85)</f>
      </c>
      <c r="P79" s="431" t="str">
        <f t="shared" si="20"/>
        <v>Y</v>
      </c>
      <c r="Q79" s="468" t="str">
        <f t="shared" si="9"/>
        <v>No detected value of B, Step 7</v>
      </c>
      <c r="R79" s="417">
        <f>'data input for RPA'!O85</f>
      </c>
      <c r="S79" s="407" t="str">
        <f t="shared" si="16"/>
        <v>No</v>
      </c>
      <c r="T79" s="465" t="str">
        <f t="shared" si="10"/>
        <v>No</v>
      </c>
      <c r="U79" s="105" t="str">
        <f t="shared" si="12"/>
        <v>Effluent data and B are ND</v>
      </c>
      <c r="V79" s="452" t="str">
        <f t="shared" si="11"/>
        <v>Effluent data and B are ND</v>
      </c>
    </row>
    <row r="80" spans="1:22" ht="15">
      <c r="A80" s="6">
        <v>75</v>
      </c>
      <c r="B80" s="7" t="s">
        <v>88</v>
      </c>
      <c r="C80" s="261">
        <f>Criteria!C86</f>
        <v>17000</v>
      </c>
      <c r="D80" s="100" t="str">
        <f>'data input for RPA'!C86</f>
        <v>Y</v>
      </c>
      <c r="E80" s="100" t="str">
        <f>IF('data input for RPA'!D86="","",'data input for RPA'!D86)</f>
        <v>Y</v>
      </c>
      <c r="F80" s="396">
        <f>IF('data input for RPA'!E86="","",'data input for RPA'!E86)</f>
        <v>0.21</v>
      </c>
      <c r="G80" s="396">
        <f>IF('data input for RPA'!F86="","",'data input for RPA'!F86)</f>
      </c>
      <c r="H80" s="9" t="str">
        <f t="shared" si="17"/>
        <v>All ND, MDL&lt;C, MEC=MDL</v>
      </c>
      <c r="I80" s="101">
        <f t="shared" si="18"/>
        <v>0.21</v>
      </c>
      <c r="J80" s="101" t="str">
        <f t="shared" si="19"/>
        <v>MEC&lt;C, go to Step 5</v>
      </c>
      <c r="K80" s="448"/>
      <c r="L80" s="417" t="str">
        <f>IF('data input for RPA'!I86="","",'data input for RPA'!I86)</f>
        <v>Y</v>
      </c>
      <c r="M80" s="417" t="str">
        <f>IF('data input for RPA'!J86="","",'data input for RPA'!J86)</f>
        <v>Y</v>
      </c>
      <c r="N80" s="434">
        <f>IF('data input for RPA'!K86="","",'data input for RPA'!K86)</f>
        <v>0.21</v>
      </c>
      <c r="O80" s="435">
        <f>IF('data input for RPA'!L86="","",'data input for RPA'!L86)</f>
      </c>
      <c r="P80" s="431" t="str">
        <f t="shared" si="20"/>
        <v>N</v>
      </c>
      <c r="Q80" s="468" t="str">
        <f t="shared" si="9"/>
        <v>No detected value of B, Step 7</v>
      </c>
      <c r="R80" s="417">
        <f>'data input for RPA'!O86</f>
      </c>
      <c r="S80" s="407" t="str">
        <f t="shared" si="16"/>
        <v>No</v>
      </c>
      <c r="T80" s="465" t="str">
        <f t="shared" si="10"/>
        <v>No</v>
      </c>
      <c r="U80" s="105" t="str">
        <f t="shared" si="12"/>
        <v>MEC&lt;C &amp; B is ND</v>
      </c>
      <c r="V80" s="452" t="str">
        <f t="shared" si="11"/>
        <v>MEC&lt;C &amp; B is ND</v>
      </c>
    </row>
    <row r="81" spans="1:22" ht="15">
      <c r="A81" s="6">
        <v>76</v>
      </c>
      <c r="B81" s="7" t="s">
        <v>89</v>
      </c>
      <c r="C81" s="261">
        <f>Criteria!C87</f>
        <v>2600</v>
      </c>
      <c r="D81" s="100" t="str">
        <f>'data input for RPA'!C87</f>
        <v>Y</v>
      </c>
      <c r="E81" s="100" t="str">
        <f>IF('data input for RPA'!D87="","",'data input for RPA'!D87)</f>
        <v>Y</v>
      </c>
      <c r="F81" s="396">
        <f>IF('data input for RPA'!E87="","",'data input for RPA'!E87)</f>
        <v>0.27</v>
      </c>
      <c r="G81" s="396">
        <f>IF('data input for RPA'!F87="","",'data input for RPA'!F87)</f>
      </c>
      <c r="H81" s="9" t="str">
        <f t="shared" si="17"/>
        <v>All ND, MDL&lt;C, MEC=MDL</v>
      </c>
      <c r="I81" s="101">
        <f t="shared" si="18"/>
        <v>0.27</v>
      </c>
      <c r="J81" s="101" t="str">
        <f t="shared" si="19"/>
        <v>MEC&lt;C, go to Step 5</v>
      </c>
      <c r="K81" s="448"/>
      <c r="L81" s="417" t="str">
        <f>IF('data input for RPA'!I87="","",'data input for RPA'!I87)</f>
        <v>Y</v>
      </c>
      <c r="M81" s="417" t="str">
        <f>IF('data input for RPA'!J87="","",'data input for RPA'!J87)</f>
        <v>Y</v>
      </c>
      <c r="N81" s="434">
        <f>IF('data input for RPA'!K87="","",'data input for RPA'!K87)</f>
        <v>0.27</v>
      </c>
      <c r="O81" s="435">
        <f>IF('data input for RPA'!L87="","",'data input for RPA'!L87)</f>
      </c>
      <c r="P81" s="431" t="str">
        <f t="shared" si="20"/>
        <v>N</v>
      </c>
      <c r="Q81" s="468" t="str">
        <f t="shared" si="9"/>
        <v>No detected value of B, Step 7</v>
      </c>
      <c r="R81" s="417">
        <f>'data input for RPA'!O87</f>
      </c>
      <c r="S81" s="407" t="str">
        <f t="shared" si="16"/>
        <v>No</v>
      </c>
      <c r="T81" s="465" t="str">
        <f t="shared" si="10"/>
        <v>No</v>
      </c>
      <c r="U81" s="105" t="str">
        <f t="shared" si="12"/>
        <v>MEC&lt;C &amp; B is ND</v>
      </c>
      <c r="V81" s="452" t="str">
        <f t="shared" si="11"/>
        <v>MEC&lt;C &amp; B is ND</v>
      </c>
    </row>
    <row r="82" spans="1:22" ht="15">
      <c r="A82" s="6">
        <v>77</v>
      </c>
      <c r="B82" s="7" t="s">
        <v>90</v>
      </c>
      <c r="C82" s="261">
        <f>Criteria!C88</f>
        <v>2600</v>
      </c>
      <c r="D82" s="100" t="str">
        <f>'data input for RPA'!C88</f>
        <v>Y</v>
      </c>
      <c r="E82" s="100" t="str">
        <f>IF('data input for RPA'!D88="","",'data input for RPA'!D88)</f>
        <v>Y</v>
      </c>
      <c r="F82" s="396">
        <f>IF('data input for RPA'!E88="","",'data input for RPA'!E88)</f>
        <v>0.2</v>
      </c>
      <c r="G82" s="396">
        <f>IF('data input for RPA'!F88="","",'data input for RPA'!F88)</f>
      </c>
      <c r="H82" s="9" t="str">
        <f t="shared" si="17"/>
        <v>All ND, MDL&lt;C, MEC=MDL</v>
      </c>
      <c r="I82" s="101">
        <f t="shared" si="18"/>
        <v>0.2</v>
      </c>
      <c r="J82" s="101" t="str">
        <f t="shared" si="19"/>
        <v>MEC&lt;C, go to Step 5</v>
      </c>
      <c r="K82" s="448"/>
      <c r="L82" s="417" t="str">
        <f>IF('data input for RPA'!I88="","",'data input for RPA'!I88)</f>
        <v>Y</v>
      </c>
      <c r="M82" s="417" t="str">
        <f>IF('data input for RPA'!J88="","",'data input for RPA'!J88)</f>
        <v>Y</v>
      </c>
      <c r="N82" s="434">
        <f>IF('data input for RPA'!K88="","",'data input for RPA'!K88)</f>
        <v>0.2</v>
      </c>
      <c r="O82" s="435">
        <f>IF('data input for RPA'!L88="","",'data input for RPA'!L88)</f>
      </c>
      <c r="P82" s="431" t="str">
        <f t="shared" si="20"/>
        <v>N</v>
      </c>
      <c r="Q82" s="468" t="str">
        <f t="shared" si="9"/>
        <v>No detected value of B, Step 7</v>
      </c>
      <c r="R82" s="417">
        <f>'data input for RPA'!O88</f>
      </c>
      <c r="S82" s="407" t="str">
        <f t="shared" si="16"/>
        <v>No</v>
      </c>
      <c r="T82" s="465" t="str">
        <f t="shared" si="10"/>
        <v>No</v>
      </c>
      <c r="U82" s="105" t="str">
        <f t="shared" si="12"/>
        <v>MEC&lt;C &amp; B is ND</v>
      </c>
      <c r="V82" s="452" t="str">
        <f t="shared" si="11"/>
        <v>MEC&lt;C &amp; B is ND</v>
      </c>
    </row>
    <row r="83" spans="1:22" ht="15">
      <c r="A83" s="6">
        <v>78</v>
      </c>
      <c r="B83" s="7" t="s">
        <v>91</v>
      </c>
      <c r="C83" s="261">
        <f>Criteria!C89</f>
        <v>0.077</v>
      </c>
      <c r="D83" s="100" t="str">
        <f>'data input for RPA'!C89</f>
        <v>Y</v>
      </c>
      <c r="E83" s="100" t="str">
        <f>IF('data input for RPA'!D89="","",'data input for RPA'!D89)</f>
        <v>Y</v>
      </c>
      <c r="F83" s="396">
        <f>IF('data input for RPA'!E89="","",'data input for RPA'!E89)</f>
        <v>1</v>
      </c>
      <c r="G83" s="396">
        <f>IF('data input for RPA'!F89="","",'data input for RPA'!F89)</f>
      </c>
      <c r="H83" s="9" t="str">
        <f t="shared" si="17"/>
        <v>All ND, MinDL&gt;C, Go to Step 5, &amp; IM</v>
      </c>
      <c r="I83" s="101">
        <f t="shared" si="18"/>
      </c>
      <c r="J83" s="101">
        <f t="shared" si="19"/>
      </c>
      <c r="K83" s="448"/>
      <c r="L83" s="417" t="str">
        <f>IF('data input for RPA'!I89="","",'data input for RPA'!I89)</f>
        <v>Y</v>
      </c>
      <c r="M83" s="417" t="str">
        <f>IF('data input for RPA'!J89="","",'data input for RPA'!J89)</f>
        <v>Y</v>
      </c>
      <c r="N83" s="434">
        <f>IF('data input for RPA'!K89="","",'data input for RPA'!K89)</f>
        <v>1</v>
      </c>
      <c r="O83" s="435">
        <f>IF('data input for RPA'!L89="","",'data input for RPA'!L89)</f>
      </c>
      <c r="P83" s="431" t="str">
        <f t="shared" si="20"/>
        <v>Y</v>
      </c>
      <c r="Q83" s="468" t="str">
        <f t="shared" si="9"/>
        <v>No detected value of B, Step 7</v>
      </c>
      <c r="R83" s="417">
        <f>'data input for RPA'!O89</f>
      </c>
      <c r="S83" s="407" t="str">
        <f t="shared" si="16"/>
        <v>No</v>
      </c>
      <c r="T83" s="465" t="str">
        <f t="shared" si="10"/>
        <v>No</v>
      </c>
      <c r="U83" s="105" t="str">
        <f t="shared" si="12"/>
        <v>Effluent data and B are ND</v>
      </c>
      <c r="V83" s="452" t="str">
        <f t="shared" si="11"/>
        <v>Effluent data and B are ND</v>
      </c>
    </row>
    <row r="84" spans="1:22" ht="15">
      <c r="A84" s="6">
        <v>79</v>
      </c>
      <c r="B84" s="7" t="s">
        <v>92</v>
      </c>
      <c r="C84" s="261">
        <f>Criteria!C90</f>
        <v>120000</v>
      </c>
      <c r="D84" s="100" t="str">
        <f>'data input for RPA'!C90</f>
        <v>Y</v>
      </c>
      <c r="E84" s="100" t="str">
        <f>IF('data input for RPA'!D90="","",'data input for RPA'!D90)</f>
        <v>Y</v>
      </c>
      <c r="F84" s="396">
        <f>IF('data input for RPA'!E90="","",'data input for RPA'!E90)</f>
        <v>1</v>
      </c>
      <c r="G84" s="396">
        <f>IF('data input for RPA'!F90="","",'data input for RPA'!F90)</f>
      </c>
      <c r="H84" s="9" t="str">
        <f t="shared" si="17"/>
        <v>All ND, MDL&lt;C, MEC=MDL</v>
      </c>
      <c r="I84" s="101">
        <f t="shared" si="18"/>
        <v>1</v>
      </c>
      <c r="J84" s="101" t="str">
        <f t="shared" si="19"/>
        <v>MEC&lt;C, go to Step 5</v>
      </c>
      <c r="K84" s="448"/>
      <c r="L84" s="417" t="str">
        <f>IF('data input for RPA'!I90="","",'data input for RPA'!I90)</f>
        <v>Y</v>
      </c>
      <c r="M84" s="417" t="str">
        <f>IF('data input for RPA'!J90="","",'data input for RPA'!J90)</f>
        <v>Y</v>
      </c>
      <c r="N84" s="434">
        <f>IF('data input for RPA'!K90="","",'data input for RPA'!K90)</f>
        <v>1</v>
      </c>
      <c r="O84" s="435">
        <f>IF('data input for RPA'!L90="","",'data input for RPA'!L90)</f>
      </c>
      <c r="P84" s="431" t="str">
        <f t="shared" si="20"/>
        <v>N</v>
      </c>
      <c r="Q84" s="468" t="str">
        <f t="shared" si="9"/>
        <v>No detected value of B, Step 7</v>
      </c>
      <c r="R84" s="417">
        <f>'data input for RPA'!O90</f>
      </c>
      <c r="S84" s="407" t="str">
        <f t="shared" si="16"/>
        <v>No</v>
      </c>
      <c r="T84" s="465" t="str">
        <f t="shared" si="10"/>
        <v>No</v>
      </c>
      <c r="U84" s="105" t="str">
        <f t="shared" si="12"/>
        <v>MEC&lt;C &amp; B is ND</v>
      </c>
      <c r="V84" s="452" t="str">
        <f t="shared" si="11"/>
        <v>MEC&lt;C &amp; B is ND</v>
      </c>
    </row>
    <row r="85" spans="1:22" ht="15">
      <c r="A85" s="6">
        <v>80</v>
      </c>
      <c r="B85" s="7" t="s">
        <v>93</v>
      </c>
      <c r="C85" s="261">
        <f>Criteria!C91</f>
        <v>2900000</v>
      </c>
      <c r="D85" s="100" t="str">
        <f>'data input for RPA'!C91</f>
        <v>Y</v>
      </c>
      <c r="E85" s="100" t="str">
        <f>IF('data input for RPA'!D91="","",'data input for RPA'!D91)</f>
        <v>Y</v>
      </c>
      <c r="F85" s="396">
        <f>IF('data input for RPA'!E91="","",'data input for RPA'!E91)</f>
        <v>1</v>
      </c>
      <c r="G85" s="396">
        <f>IF('data input for RPA'!F91="","",'data input for RPA'!F91)</f>
      </c>
      <c r="H85" s="9" t="str">
        <f t="shared" si="17"/>
        <v>All ND, MDL&lt;C, MEC=MDL</v>
      </c>
      <c r="I85" s="101">
        <f t="shared" si="18"/>
        <v>1</v>
      </c>
      <c r="J85" s="101" t="str">
        <f t="shared" si="19"/>
        <v>MEC&lt;C, go to Step 5</v>
      </c>
      <c r="K85" s="448"/>
      <c r="L85" s="417" t="str">
        <f>IF('data input for RPA'!I91="","",'data input for RPA'!I91)</f>
        <v>Y</v>
      </c>
      <c r="M85" s="417" t="str">
        <f>IF('data input for RPA'!J91="","",'data input for RPA'!J91)</f>
        <v>Y</v>
      </c>
      <c r="N85" s="434">
        <f>IF('data input for RPA'!K91="","",'data input for RPA'!K91)</f>
        <v>1</v>
      </c>
      <c r="O85" s="435">
        <f>IF('data input for RPA'!L91="","",'data input for RPA'!L91)</f>
      </c>
      <c r="P85" s="431" t="str">
        <f t="shared" si="20"/>
        <v>N</v>
      </c>
      <c r="Q85" s="468" t="str">
        <f t="shared" si="9"/>
        <v>No detected value of B, Step 7</v>
      </c>
      <c r="R85" s="417">
        <f>'data input for RPA'!O91</f>
      </c>
      <c r="S85" s="407" t="str">
        <f t="shared" si="16"/>
        <v>No</v>
      </c>
      <c r="T85" s="465" t="str">
        <f t="shared" si="10"/>
        <v>No</v>
      </c>
      <c r="U85" s="105" t="str">
        <f t="shared" si="12"/>
        <v>MEC&lt;C &amp; B is ND</v>
      </c>
      <c r="V85" s="452" t="str">
        <f t="shared" si="11"/>
        <v>MEC&lt;C &amp; B is ND</v>
      </c>
    </row>
    <row r="86" spans="1:22" ht="15">
      <c r="A86" s="6">
        <v>81</v>
      </c>
      <c r="B86" s="7" t="s">
        <v>94</v>
      </c>
      <c r="C86" s="261">
        <f>Criteria!C92</f>
        <v>12000</v>
      </c>
      <c r="D86" s="100" t="str">
        <f>'data input for RPA'!C92</f>
        <v>Y</v>
      </c>
      <c r="E86" s="100" t="str">
        <f>IF('data input for RPA'!D92="","",'data input for RPA'!D92)</f>
        <v>Y</v>
      </c>
      <c r="F86" s="396">
        <f>IF('data input for RPA'!E92="","",'data input for RPA'!E92)</f>
        <v>1</v>
      </c>
      <c r="G86" s="396">
        <f>IF('data input for RPA'!F92="","",'data input for RPA'!F92)</f>
      </c>
      <c r="H86" s="9" t="str">
        <f t="shared" si="17"/>
        <v>All ND, MDL&lt;C, MEC=MDL</v>
      </c>
      <c r="I86" s="101">
        <f t="shared" si="18"/>
        <v>1</v>
      </c>
      <c r="J86" s="101" t="str">
        <f t="shared" si="19"/>
        <v>MEC&lt;C, go to Step 5</v>
      </c>
      <c r="K86" s="448"/>
      <c r="L86" s="417" t="str">
        <f>IF('data input for RPA'!I92="","",'data input for RPA'!I92)</f>
        <v>Y</v>
      </c>
      <c r="M86" s="417" t="str">
        <f>IF('data input for RPA'!J92="","",'data input for RPA'!J92)</f>
        <v>Y</v>
      </c>
      <c r="N86" s="434">
        <f>IF('data input for RPA'!K92="","",'data input for RPA'!K92)</f>
        <v>1</v>
      </c>
      <c r="O86" s="435">
        <f>IF('data input for RPA'!L92="","",'data input for RPA'!L92)</f>
      </c>
      <c r="P86" s="431" t="str">
        <f t="shared" si="20"/>
        <v>N</v>
      </c>
      <c r="Q86" s="468" t="str">
        <f aca="true" t="shared" si="21" ref="Q86:Q127">IF(C86="No Criteria","No Criteria",IF(O86="","No detected value of B, Step 7",IF(AND(O86&gt;C86,E86="Y"),"B&gt;C, MEC = ND, No Effluent Limit Required",IF(AND(O86&gt;C86,E86="N"),"B&gt;C; MEC is Detected; Effluent Limit Required",IF(AND(O86&gt;C86,E86=""),"B&gt;C, No Effluent Data","B&lt;C, Step 7")))))</f>
        <v>No detected value of B, Step 7</v>
      </c>
      <c r="R86" s="417">
        <f>'data input for RPA'!O92</f>
      </c>
      <c r="S86" s="407" t="str">
        <f t="shared" si="16"/>
        <v>No</v>
      </c>
      <c r="T86" s="465" t="str">
        <f aca="true" t="shared" si="22" ref="T86:T127">IF(AND(S86="Yes",Q86="B&gt;C, No Effluent Data"),"No",S86)</f>
        <v>No</v>
      </c>
      <c r="U86" s="105" t="str">
        <f t="shared" si="12"/>
        <v>MEC&lt;C &amp; B is ND</v>
      </c>
      <c r="V86" s="452" t="str">
        <f aca="true" t="shared" si="23" ref="V86:V127">IF(AND(U86="B&gt;C",T86="No",E86="Y"),"B&gt;C; MEC is ND",IF(AND(U86="B&gt;C",T86="No",E86=""),"B&gt;C, No Effluent Data",U86))</f>
        <v>MEC&lt;C &amp; B is ND</v>
      </c>
    </row>
    <row r="87" spans="1:22" ht="15">
      <c r="A87" s="6">
        <v>82</v>
      </c>
      <c r="B87" s="7" t="s">
        <v>95</v>
      </c>
      <c r="C87" s="261">
        <f>Criteria!C93</f>
        <v>9.1</v>
      </c>
      <c r="D87" s="100" t="str">
        <f>'data input for RPA'!C93</f>
        <v>Y</v>
      </c>
      <c r="E87" s="100" t="str">
        <f>IF('data input for RPA'!D93="","",'data input for RPA'!D93)</f>
        <v>Y</v>
      </c>
      <c r="F87" s="396">
        <f>IF('data input for RPA'!E93="","",'data input for RPA'!E93)</f>
        <v>1</v>
      </c>
      <c r="G87" s="396">
        <f>IF('data input for RPA'!F93="","",'data input for RPA'!F93)</f>
      </c>
      <c r="H87" s="9" t="str">
        <f t="shared" si="17"/>
        <v>All ND, MDL&lt;C, MEC=MDL</v>
      </c>
      <c r="I87" s="101">
        <f t="shared" si="18"/>
        <v>1</v>
      </c>
      <c r="J87" s="101" t="str">
        <f t="shared" si="19"/>
        <v>MEC&lt;C, go to Step 5</v>
      </c>
      <c r="K87" s="448"/>
      <c r="L87" s="417" t="str">
        <f>IF('data input for RPA'!I93="","",'data input for RPA'!I93)</f>
        <v>Y</v>
      </c>
      <c r="M87" s="417" t="str">
        <f>IF('data input for RPA'!J93="","",'data input for RPA'!J93)</f>
        <v>Y</v>
      </c>
      <c r="N87" s="434">
        <f>IF('data input for RPA'!K93="","",'data input for RPA'!K93)</f>
        <v>1</v>
      </c>
      <c r="O87" s="435">
        <f>IF('data input for RPA'!L93="","",'data input for RPA'!L93)</f>
      </c>
      <c r="P87" s="431" t="str">
        <f t="shared" si="20"/>
        <v>N</v>
      </c>
      <c r="Q87" s="468" t="str">
        <f t="shared" si="21"/>
        <v>No detected value of B, Step 7</v>
      </c>
      <c r="R87" s="417">
        <f>'data input for RPA'!O93</f>
      </c>
      <c r="S87" s="407" t="str">
        <f t="shared" si="16"/>
        <v>No</v>
      </c>
      <c r="T87" s="465" t="str">
        <f t="shared" si="22"/>
        <v>No</v>
      </c>
      <c r="U87" s="105" t="str">
        <f aca="true" t="shared" si="24" ref="U87:U127">IF(C87="No Criteria","No Criteria",IF(D87="N",IF(L87="N","No effluent data &amp; no B",IF(M87="Y","No effluent data &amp; B is ND",IF(O87&gt;C87,"B&gt;C","no effluent data &amp; B&lt;C"))),IF(H87="All ND, MinDL&gt;C, Go to Step 5, &amp; IM",IF(L87="N","MDL&gt;C &amp; No B",IF(M87="Y","Effluent data and B are ND",IF(O87&gt;C87,"B&gt;C","UD; effluent data ND, MDL&gt;C &amp; B&lt;C"))),IF(I87="No Criteria","No Criteria",IF(OR(I87&gt;C87,I87=C87),"MEC&gt;C or MEC=C",IF(M87="N",IF(O87&gt;C87,"B&gt;C","MEC&lt;C &amp; B&lt;C"),"MEC&lt;C &amp; B is ND"))))))</f>
        <v>MEC&lt;C &amp; B is ND</v>
      </c>
      <c r="V87" s="452" t="str">
        <f t="shared" si="23"/>
        <v>MEC&lt;C &amp; B is ND</v>
      </c>
    </row>
    <row r="88" spans="1:22" ht="15">
      <c r="A88" s="6">
        <v>83</v>
      </c>
      <c r="B88" s="7" t="s">
        <v>96</v>
      </c>
      <c r="C88" s="261" t="str">
        <f>Criteria!C94</f>
        <v>No Criteria</v>
      </c>
      <c r="D88" s="100" t="str">
        <f>'data input for RPA'!C94</f>
        <v>Y</v>
      </c>
      <c r="E88" s="100" t="str">
        <f>IF('data input for RPA'!D94="","",'data input for RPA'!D94)</f>
        <v>Y</v>
      </c>
      <c r="F88" s="396">
        <f>IF('data input for RPA'!E94="","",'data input for RPA'!E94)</f>
        <v>1</v>
      </c>
      <c r="G88" s="396">
        <f>IF('data input for RPA'!F94="","",'data input for RPA'!F94)</f>
      </c>
      <c r="H88" s="9" t="str">
        <f t="shared" si="17"/>
        <v>No Criteria</v>
      </c>
      <c r="I88" s="101" t="str">
        <f t="shared" si="18"/>
        <v>No Criteria</v>
      </c>
      <c r="J88" s="101" t="str">
        <f t="shared" si="19"/>
        <v>No Criteria</v>
      </c>
      <c r="K88" s="448"/>
      <c r="L88" s="417" t="str">
        <f>IF('data input for RPA'!I94="","",'data input for RPA'!I94)</f>
        <v>Y</v>
      </c>
      <c r="M88" s="417" t="str">
        <f>IF('data input for RPA'!J94="","",'data input for RPA'!J94)</f>
        <v>Y</v>
      </c>
      <c r="N88" s="434">
        <f>IF('data input for RPA'!K94="","",'data input for RPA'!K94)</f>
        <v>1</v>
      </c>
      <c r="O88" s="435">
        <f>IF('data input for RPA'!L94="","",'data input for RPA'!L94)</f>
      </c>
      <c r="P88" s="431" t="str">
        <f t="shared" si="20"/>
        <v>N</v>
      </c>
      <c r="Q88" s="468" t="str">
        <f t="shared" si="21"/>
        <v>No Criteria</v>
      </c>
      <c r="R88" s="417" t="str">
        <f>'data input for RPA'!O94</f>
        <v>No Criteria</v>
      </c>
      <c r="S88" s="407" t="str">
        <f t="shared" si="16"/>
        <v>Uo</v>
      </c>
      <c r="T88" s="465" t="str">
        <f t="shared" si="22"/>
        <v>Uo</v>
      </c>
      <c r="U88" s="105" t="str">
        <f t="shared" si="24"/>
        <v>No Criteria</v>
      </c>
      <c r="V88" s="452" t="str">
        <f t="shared" si="23"/>
        <v>No Criteria</v>
      </c>
    </row>
    <row r="89" spans="1:22" ht="15">
      <c r="A89" s="6">
        <v>84</v>
      </c>
      <c r="B89" s="7" t="s">
        <v>97</v>
      </c>
      <c r="C89" s="261" t="str">
        <f>Criteria!C95</f>
        <v>No Criteria</v>
      </c>
      <c r="D89" s="100" t="str">
        <f>'data input for RPA'!C95</f>
        <v>Y</v>
      </c>
      <c r="E89" s="100" t="str">
        <f>IF('data input for RPA'!D95="","",'data input for RPA'!D95)</f>
        <v>Y</v>
      </c>
      <c r="F89" s="396">
        <f>IF('data input for RPA'!E95="","",'data input for RPA'!E95)</f>
        <v>1</v>
      </c>
      <c r="G89" s="396">
        <f>IF('data input for RPA'!F95="","",'data input for RPA'!F95)</f>
      </c>
      <c r="H89" s="9" t="str">
        <f t="shared" si="17"/>
        <v>No Criteria</v>
      </c>
      <c r="I89" s="101" t="str">
        <f t="shared" si="18"/>
        <v>No Criteria</v>
      </c>
      <c r="J89" s="101" t="str">
        <f t="shared" si="19"/>
        <v>No Criteria</v>
      </c>
      <c r="K89" s="448"/>
      <c r="L89" s="417" t="str">
        <f>IF('data input for RPA'!I95="","",'data input for RPA'!I95)</f>
        <v>Y</v>
      </c>
      <c r="M89" s="417" t="str">
        <f>IF('data input for RPA'!J95="","",'data input for RPA'!J95)</f>
        <v>Y</v>
      </c>
      <c r="N89" s="434">
        <f>IF('data input for RPA'!K95="","",'data input for RPA'!K95)</f>
        <v>1</v>
      </c>
      <c r="O89" s="435">
        <f>IF('data input for RPA'!L95="","",'data input for RPA'!L95)</f>
      </c>
      <c r="P89" s="431" t="str">
        <f t="shared" si="20"/>
        <v>N</v>
      </c>
      <c r="Q89" s="468" t="str">
        <f t="shared" si="21"/>
        <v>No Criteria</v>
      </c>
      <c r="R89" s="417" t="str">
        <f>'data input for RPA'!O95</f>
        <v>No Criteria</v>
      </c>
      <c r="S89" s="407" t="str">
        <f t="shared" si="16"/>
        <v>Uo</v>
      </c>
      <c r="T89" s="465" t="str">
        <f t="shared" si="22"/>
        <v>Uo</v>
      </c>
      <c r="U89" s="105" t="str">
        <f t="shared" si="24"/>
        <v>No Criteria</v>
      </c>
      <c r="V89" s="452" t="str">
        <f t="shared" si="23"/>
        <v>No Criteria</v>
      </c>
    </row>
    <row r="90" spans="1:22" ht="15">
      <c r="A90" s="6">
        <v>85</v>
      </c>
      <c r="B90" s="7" t="s">
        <v>98</v>
      </c>
      <c r="C90" s="261">
        <f>Criteria!C96</f>
        <v>0.54</v>
      </c>
      <c r="D90" s="100" t="str">
        <f>'data input for RPA'!C96</f>
        <v>Y</v>
      </c>
      <c r="E90" s="100" t="str">
        <f>IF('data input for RPA'!D96="","",'data input for RPA'!D96)</f>
        <v>Y</v>
      </c>
      <c r="F90" s="396">
        <f>IF('data input for RPA'!E96="","",'data input for RPA'!E96)</f>
        <v>0.5</v>
      </c>
      <c r="G90" s="396">
        <f>IF('data input for RPA'!F96="","",'data input for RPA'!F96)</f>
      </c>
      <c r="H90" s="9" t="str">
        <f t="shared" si="17"/>
        <v>All ND, MDL&lt;C, MEC=MDL</v>
      </c>
      <c r="I90" s="101">
        <f t="shared" si="18"/>
        <v>0.5</v>
      </c>
      <c r="J90" s="101" t="str">
        <f t="shared" si="19"/>
        <v>MEC&lt;C, go to Step 5</v>
      </c>
      <c r="K90" s="448"/>
      <c r="L90" s="417" t="str">
        <f>IF('data input for RPA'!I96="","",'data input for RPA'!I96)</f>
        <v>Y</v>
      </c>
      <c r="M90" s="417" t="str">
        <f>IF('data input for RPA'!J96="","",'data input for RPA'!J96)</f>
        <v>Y</v>
      </c>
      <c r="N90" s="434">
        <f>IF('data input for RPA'!K96="","",'data input for RPA'!K96)</f>
        <v>0.5</v>
      </c>
      <c r="O90" s="435">
        <f>IF('data input for RPA'!L96="","",'data input for RPA'!L96)</f>
      </c>
      <c r="P90" s="431" t="str">
        <f t="shared" si="20"/>
        <v>N</v>
      </c>
      <c r="Q90" s="468" t="str">
        <f t="shared" si="21"/>
        <v>No detected value of B, Step 7</v>
      </c>
      <c r="R90" s="417">
        <f>'data input for RPA'!O96</f>
      </c>
      <c r="S90" s="407" t="str">
        <f t="shared" si="16"/>
        <v>No</v>
      </c>
      <c r="T90" s="465" t="str">
        <f t="shared" si="22"/>
        <v>No</v>
      </c>
      <c r="U90" s="105" t="str">
        <f t="shared" si="24"/>
        <v>MEC&lt;C &amp; B is ND</v>
      </c>
      <c r="V90" s="452" t="str">
        <f t="shared" si="23"/>
        <v>MEC&lt;C &amp; B is ND</v>
      </c>
    </row>
    <row r="91" spans="1:22" ht="15">
      <c r="A91" s="6">
        <v>86</v>
      </c>
      <c r="B91" s="7" t="s">
        <v>99</v>
      </c>
      <c r="C91" s="261">
        <f>Criteria!C97</f>
        <v>370</v>
      </c>
      <c r="D91" s="100" t="str">
        <f>'data input for RPA'!C97</f>
        <v>Y</v>
      </c>
      <c r="E91" s="100" t="str">
        <f>IF('data input for RPA'!D97="","",'data input for RPA'!D97)</f>
        <v>Y</v>
      </c>
      <c r="F91" s="396">
        <f>IF('data input for RPA'!E97="","",'data input for RPA'!E97)</f>
        <v>2.5</v>
      </c>
      <c r="G91" s="396">
        <f>IF('data input for RPA'!F97="","",'data input for RPA'!F97)</f>
      </c>
      <c r="H91" s="9" t="str">
        <f t="shared" si="17"/>
        <v>All ND, MDL&lt;C, MEC=MDL</v>
      </c>
      <c r="I91" s="101">
        <f t="shared" si="18"/>
        <v>2.5</v>
      </c>
      <c r="J91" s="101" t="str">
        <f t="shared" si="19"/>
        <v>MEC&lt;C, go to Step 5</v>
      </c>
      <c r="K91" s="448"/>
      <c r="L91" s="417" t="str">
        <f>IF('data input for RPA'!I97="","",'data input for RPA'!I97)</f>
        <v>Y</v>
      </c>
      <c r="M91" s="417" t="str">
        <f>IF('data input for RPA'!J97="","",'data input for RPA'!J97)</f>
        <v>Y</v>
      </c>
      <c r="N91" s="434">
        <f>IF('data input for RPA'!K97="","",'data input for RPA'!K97)</f>
        <v>0.05</v>
      </c>
      <c r="O91" s="435">
        <f>IF('data input for RPA'!L97="","",'data input for RPA'!L97)</f>
      </c>
      <c r="P91" s="431" t="str">
        <f t="shared" si="20"/>
        <v>N</v>
      </c>
      <c r="Q91" s="468" t="str">
        <f t="shared" si="21"/>
        <v>No detected value of B, Step 7</v>
      </c>
      <c r="R91" s="417">
        <f>'data input for RPA'!O97</f>
      </c>
      <c r="S91" s="407" t="str">
        <f t="shared" si="16"/>
        <v>No</v>
      </c>
      <c r="T91" s="465" t="str">
        <f t="shared" si="22"/>
        <v>No</v>
      </c>
      <c r="U91" s="105" t="str">
        <f t="shared" si="24"/>
        <v>MEC&lt;C &amp; B is ND</v>
      </c>
      <c r="V91" s="452" t="str">
        <f t="shared" si="23"/>
        <v>MEC&lt;C &amp; B is ND</v>
      </c>
    </row>
    <row r="92" spans="1:22" ht="15">
      <c r="A92" s="6">
        <v>87</v>
      </c>
      <c r="B92" s="7" t="s">
        <v>100</v>
      </c>
      <c r="C92" s="261">
        <f>Criteria!C98</f>
        <v>14000</v>
      </c>
      <c r="D92" s="100" t="str">
        <f>'data input for RPA'!C98</f>
        <v>Y</v>
      </c>
      <c r="E92" s="100" t="str">
        <f>IF('data input for RPA'!D98="","",'data input for RPA'!D98)</f>
        <v>Y</v>
      </c>
      <c r="F92" s="396">
        <f>IF('data input for RPA'!E98="","",'data input for RPA'!E98)</f>
        <v>2.6</v>
      </c>
      <c r="G92" s="396">
        <f>IF('data input for RPA'!F98="","",'data input for RPA'!F98)</f>
      </c>
      <c r="H92" s="9" t="str">
        <f t="shared" si="17"/>
        <v>All ND, MDL&lt;C, MEC=MDL</v>
      </c>
      <c r="I92" s="101">
        <f t="shared" si="18"/>
        <v>2.6</v>
      </c>
      <c r="J92" s="101" t="str">
        <f t="shared" si="19"/>
        <v>MEC&lt;C, go to Step 5</v>
      </c>
      <c r="K92" s="448"/>
      <c r="L92" s="417" t="str">
        <f>IF('data input for RPA'!I98="","",'data input for RPA'!I98)</f>
        <v>Y</v>
      </c>
      <c r="M92" s="417" t="str">
        <f>IF('data input for RPA'!J98="","",'data input for RPA'!J98)</f>
        <v>Y</v>
      </c>
      <c r="N92" s="434">
        <f>IF('data input for RPA'!K98="","",'data input for RPA'!K98)</f>
        <v>0.05</v>
      </c>
      <c r="O92" s="435">
        <f>IF('data input for RPA'!L98="","",'data input for RPA'!L98)</f>
      </c>
      <c r="P92" s="431" t="str">
        <f t="shared" si="20"/>
        <v>N</v>
      </c>
      <c r="Q92" s="468" t="str">
        <f t="shared" si="21"/>
        <v>No detected value of B, Step 7</v>
      </c>
      <c r="R92" s="417">
        <f>'data input for RPA'!O98</f>
      </c>
      <c r="S92" s="407" t="str">
        <f t="shared" si="16"/>
        <v>No</v>
      </c>
      <c r="T92" s="465" t="str">
        <f t="shared" si="22"/>
        <v>No</v>
      </c>
      <c r="U92" s="105" t="str">
        <f t="shared" si="24"/>
        <v>MEC&lt;C &amp; B is ND</v>
      </c>
      <c r="V92" s="452" t="str">
        <f t="shared" si="23"/>
        <v>MEC&lt;C &amp; B is ND</v>
      </c>
    </row>
    <row r="93" spans="1:22" ht="15">
      <c r="A93" s="6">
        <v>88</v>
      </c>
      <c r="B93" s="7" t="s">
        <v>101</v>
      </c>
      <c r="C93" s="261">
        <f>Criteria!C99</f>
        <v>0.00077</v>
      </c>
      <c r="D93" s="100" t="str">
        <f>'data input for RPA'!C99</f>
        <v>Y</v>
      </c>
      <c r="E93" s="100" t="str">
        <f>IF('data input for RPA'!D99="","",'data input for RPA'!D99)</f>
        <v>Y</v>
      </c>
      <c r="F93" s="396">
        <f>IF('data input for RPA'!E99="","",'data input for RPA'!E99)</f>
        <v>0.5</v>
      </c>
      <c r="G93" s="396">
        <f>IF('data input for RPA'!F99="","",'data input for RPA'!F99)</f>
      </c>
      <c r="H93" s="9" t="str">
        <f t="shared" si="17"/>
        <v>All ND, MinDL&gt;C, Go to Step 5, &amp; IM</v>
      </c>
      <c r="I93" s="101">
        <f t="shared" si="18"/>
      </c>
      <c r="J93" s="101">
        <f t="shared" si="19"/>
      </c>
      <c r="K93" s="448"/>
      <c r="L93" s="417" t="str">
        <f>IF('data input for RPA'!I99="","",'data input for RPA'!I99)</f>
        <v>Y</v>
      </c>
      <c r="M93" s="417" t="str">
        <f>IF('data input for RPA'!J99="","",'data input for RPA'!J99)</f>
        <v>Y</v>
      </c>
      <c r="N93" s="434">
        <f>IF('data input for RPA'!K99="","",'data input for RPA'!K99)</f>
        <v>0.5</v>
      </c>
      <c r="O93" s="435">
        <f>IF('data input for RPA'!L99="","",'data input for RPA'!L99)</f>
      </c>
      <c r="P93" s="431" t="str">
        <f t="shared" si="20"/>
        <v>Y</v>
      </c>
      <c r="Q93" s="468" t="str">
        <f t="shared" si="21"/>
        <v>No detected value of B, Step 7</v>
      </c>
      <c r="R93" s="417">
        <f>'data input for RPA'!O99</f>
      </c>
      <c r="S93" s="407" t="str">
        <f t="shared" si="16"/>
        <v>No</v>
      </c>
      <c r="T93" s="465" t="str">
        <f t="shared" si="22"/>
        <v>No</v>
      </c>
      <c r="U93" s="105" t="str">
        <f t="shared" si="24"/>
        <v>Effluent data and B are ND</v>
      </c>
      <c r="V93" s="452" t="str">
        <f t="shared" si="23"/>
        <v>Effluent data and B are ND</v>
      </c>
    </row>
    <row r="94" spans="1:22" ht="15">
      <c r="A94" s="6">
        <v>89</v>
      </c>
      <c r="B94" s="7" t="s">
        <v>102</v>
      </c>
      <c r="C94" s="261">
        <f>Criteria!C100</f>
        <v>50</v>
      </c>
      <c r="D94" s="100" t="str">
        <f>'data input for RPA'!C100</f>
        <v>Y</v>
      </c>
      <c r="E94" s="100" t="str">
        <f>IF('data input for RPA'!D100="","",'data input for RPA'!D100)</f>
        <v>Y</v>
      </c>
      <c r="F94" s="396">
        <f>IF('data input for RPA'!E100="","",'data input for RPA'!E100)</f>
        <v>0.23</v>
      </c>
      <c r="G94" s="396">
        <f>IF('data input for RPA'!F100="","",'data input for RPA'!F100)</f>
      </c>
      <c r="H94" s="9" t="str">
        <f t="shared" si="17"/>
        <v>All ND, MDL&lt;C, MEC=MDL</v>
      </c>
      <c r="I94" s="101">
        <f t="shared" si="18"/>
        <v>0.23</v>
      </c>
      <c r="J94" s="101" t="str">
        <f t="shared" si="19"/>
        <v>MEC&lt;C, go to Step 5</v>
      </c>
      <c r="K94" s="448"/>
      <c r="L94" s="417" t="str">
        <f>IF('data input for RPA'!I100="","",'data input for RPA'!I100)</f>
        <v>Y</v>
      </c>
      <c r="M94" s="417" t="str">
        <f>IF('data input for RPA'!J100="","",'data input for RPA'!J100)</f>
        <v>Y</v>
      </c>
      <c r="N94" s="434">
        <f>IF('data input for RPA'!K100="","",'data input for RPA'!K100)</f>
        <v>0.23</v>
      </c>
      <c r="O94" s="435">
        <f>IF('data input for RPA'!L100="","",'data input for RPA'!L100)</f>
      </c>
      <c r="P94" s="431" t="str">
        <f t="shared" si="20"/>
        <v>N</v>
      </c>
      <c r="Q94" s="468" t="str">
        <f t="shared" si="21"/>
        <v>No detected value of B, Step 7</v>
      </c>
      <c r="R94" s="417">
        <f>'data input for RPA'!O100</f>
      </c>
      <c r="S94" s="407" t="str">
        <f t="shared" si="16"/>
        <v>No</v>
      </c>
      <c r="T94" s="465" t="str">
        <f t="shared" si="22"/>
        <v>No</v>
      </c>
      <c r="U94" s="105" t="str">
        <f t="shared" si="24"/>
        <v>MEC&lt;C &amp; B is ND</v>
      </c>
      <c r="V94" s="452" t="str">
        <f t="shared" si="23"/>
        <v>MEC&lt;C &amp; B is ND</v>
      </c>
    </row>
    <row r="95" spans="1:22" ht="15">
      <c r="A95" s="6">
        <v>90</v>
      </c>
      <c r="B95" s="7" t="s">
        <v>103</v>
      </c>
      <c r="C95" s="261">
        <f>Criteria!C101</f>
        <v>17000</v>
      </c>
      <c r="D95" s="100" t="str">
        <f>'data input for RPA'!C101</f>
        <v>Y</v>
      </c>
      <c r="E95" s="100" t="str">
        <f>IF('data input for RPA'!D101="","",'data input for RPA'!D101)</f>
        <v>Y</v>
      </c>
      <c r="F95" s="396">
        <f>IF('data input for RPA'!E101="","",'data input for RPA'!E101)</f>
        <v>1</v>
      </c>
      <c r="G95" s="396">
        <f>IF('data input for RPA'!F101="","",'data input for RPA'!F101)</f>
      </c>
      <c r="H95" s="9" t="str">
        <f t="shared" si="17"/>
        <v>All ND, MDL&lt;C, MEC=MDL</v>
      </c>
      <c r="I95" s="101">
        <f t="shared" si="18"/>
        <v>1</v>
      </c>
      <c r="J95" s="101" t="str">
        <f t="shared" si="19"/>
        <v>MEC&lt;C, go to Step 5</v>
      </c>
      <c r="K95" s="448"/>
      <c r="L95" s="417" t="str">
        <f>IF('data input for RPA'!I101="","",'data input for RPA'!I101)</f>
        <v>Y</v>
      </c>
      <c r="M95" s="417" t="str">
        <f>IF('data input for RPA'!J101="","",'data input for RPA'!J101)</f>
        <v>Y</v>
      </c>
      <c r="N95" s="434">
        <f>IF('data input for RPA'!K101="","",'data input for RPA'!K101)</f>
        <v>1</v>
      </c>
      <c r="O95" s="435">
        <f>IF('data input for RPA'!L101="","",'data input for RPA'!L101)</f>
      </c>
      <c r="P95" s="431" t="str">
        <f t="shared" si="20"/>
        <v>N</v>
      </c>
      <c r="Q95" s="468" t="str">
        <f t="shared" si="21"/>
        <v>No detected value of B, Step 7</v>
      </c>
      <c r="R95" s="417">
        <f>'data input for RPA'!O101</f>
      </c>
      <c r="S95" s="407" t="str">
        <f t="shared" si="16"/>
        <v>No</v>
      </c>
      <c r="T95" s="465" t="str">
        <f t="shared" si="22"/>
        <v>No</v>
      </c>
      <c r="U95" s="105" t="str">
        <f t="shared" si="24"/>
        <v>MEC&lt;C &amp; B is ND</v>
      </c>
      <c r="V95" s="452" t="str">
        <f t="shared" si="23"/>
        <v>MEC&lt;C &amp; B is ND</v>
      </c>
    </row>
    <row r="96" spans="1:22" ht="15">
      <c r="A96" s="6">
        <v>91</v>
      </c>
      <c r="B96" s="7" t="s">
        <v>104</v>
      </c>
      <c r="C96" s="261">
        <f>Criteria!C102</f>
        <v>8.9</v>
      </c>
      <c r="D96" s="100" t="str">
        <f>'data input for RPA'!C102</f>
        <v>Y</v>
      </c>
      <c r="E96" s="100" t="str">
        <f>IF('data input for RPA'!D102="","",'data input for RPA'!D102)</f>
        <v>Y</v>
      </c>
      <c r="F96" s="396">
        <f>IF('data input for RPA'!E102="","",'data input for RPA'!E102)</f>
        <v>0.5</v>
      </c>
      <c r="G96" s="396">
        <f>IF('data input for RPA'!F102="","",'data input for RPA'!F102)</f>
      </c>
      <c r="H96" s="9" t="str">
        <f t="shared" si="17"/>
        <v>All ND, MDL&lt;C, MEC=MDL</v>
      </c>
      <c r="I96" s="101">
        <f t="shared" si="18"/>
        <v>0.5</v>
      </c>
      <c r="J96" s="101" t="str">
        <f t="shared" si="19"/>
        <v>MEC&lt;C, go to Step 5</v>
      </c>
      <c r="K96" s="448"/>
      <c r="L96" s="417" t="str">
        <f>IF('data input for RPA'!I102="","",'data input for RPA'!I102)</f>
        <v>Y</v>
      </c>
      <c r="M96" s="417" t="str">
        <f>IF('data input for RPA'!J102="","",'data input for RPA'!J102)</f>
        <v>Y</v>
      </c>
      <c r="N96" s="434">
        <f>IF('data input for RPA'!K102="","",'data input for RPA'!K102)</f>
        <v>0.5</v>
      </c>
      <c r="O96" s="435">
        <f>IF('data input for RPA'!L102="","",'data input for RPA'!L102)</f>
      </c>
      <c r="P96" s="431" t="str">
        <f t="shared" si="20"/>
        <v>N</v>
      </c>
      <c r="Q96" s="468" t="str">
        <f t="shared" si="21"/>
        <v>No detected value of B, Step 7</v>
      </c>
      <c r="R96" s="417">
        <f>'data input for RPA'!O102</f>
      </c>
      <c r="S96" s="407" t="str">
        <f t="shared" si="16"/>
        <v>No</v>
      </c>
      <c r="T96" s="465" t="str">
        <f t="shared" si="22"/>
        <v>No</v>
      </c>
      <c r="U96" s="105" t="str">
        <f t="shared" si="24"/>
        <v>MEC&lt;C &amp; B is ND</v>
      </c>
      <c r="V96" s="452" t="str">
        <f t="shared" si="23"/>
        <v>MEC&lt;C &amp; B is ND</v>
      </c>
    </row>
    <row r="97" spans="1:22" ht="15">
      <c r="A97" s="6">
        <v>92</v>
      </c>
      <c r="B97" s="7" t="s">
        <v>105</v>
      </c>
      <c r="C97" s="261">
        <f>Criteria!C103</f>
        <v>0.049</v>
      </c>
      <c r="D97" s="100" t="str">
        <f>'data input for RPA'!C103</f>
        <v>Y</v>
      </c>
      <c r="E97" s="100" t="str">
        <f>IF('data input for RPA'!D103="","",'data input for RPA'!D103)</f>
        <v>Y</v>
      </c>
      <c r="F97" s="396">
        <f>IF('data input for RPA'!E103="","",'data input for RPA'!E103)</f>
        <v>4.4</v>
      </c>
      <c r="G97" s="396">
        <f>IF('data input for RPA'!F103="","",'data input for RPA'!F103)</f>
      </c>
      <c r="H97" s="9" t="str">
        <f t="shared" si="17"/>
        <v>All ND, MinDL&gt;C, Go to Step 5, &amp; IM</v>
      </c>
      <c r="I97" s="101">
        <f t="shared" si="18"/>
      </c>
      <c r="J97" s="101">
        <f t="shared" si="19"/>
      </c>
      <c r="K97" s="448"/>
      <c r="L97" s="417" t="str">
        <f>IF('data input for RPA'!I103="","",'data input for RPA'!I103)</f>
        <v>Y</v>
      </c>
      <c r="M97" s="417" t="str">
        <f>IF('data input for RPA'!J103="","",'data input for RPA'!J103)</f>
        <v>Y</v>
      </c>
      <c r="N97" s="434">
        <f>IF('data input for RPA'!K103="","",'data input for RPA'!K103)</f>
        <v>0.5</v>
      </c>
      <c r="O97" s="435">
        <f>IF('data input for RPA'!L103="","",'data input for RPA'!L103)</f>
      </c>
      <c r="P97" s="431" t="str">
        <f t="shared" si="20"/>
        <v>Y</v>
      </c>
      <c r="Q97" s="468" t="str">
        <f t="shared" si="21"/>
        <v>No detected value of B, Step 7</v>
      </c>
      <c r="R97" s="417">
        <f>'data input for RPA'!O103</f>
      </c>
      <c r="S97" s="407" t="str">
        <f t="shared" si="16"/>
        <v>No</v>
      </c>
      <c r="T97" s="465" t="str">
        <f t="shared" si="22"/>
        <v>No</v>
      </c>
      <c r="U97" s="105" t="str">
        <f t="shared" si="24"/>
        <v>Effluent data and B are ND</v>
      </c>
      <c r="V97" s="452" t="str">
        <f t="shared" si="23"/>
        <v>Effluent data and B are ND</v>
      </c>
    </row>
    <row r="98" spans="1:22" ht="15">
      <c r="A98" s="6">
        <v>93</v>
      </c>
      <c r="B98" s="7" t="s">
        <v>106</v>
      </c>
      <c r="C98" s="261">
        <f>Criteria!C104</f>
        <v>600</v>
      </c>
      <c r="D98" s="100" t="str">
        <f>'data input for RPA'!C104</f>
        <v>Y</v>
      </c>
      <c r="E98" s="100" t="str">
        <f>IF('data input for RPA'!D104="","",'data input for RPA'!D104)</f>
        <v>Y</v>
      </c>
      <c r="F98" s="396">
        <f>IF('data input for RPA'!E104="","",'data input for RPA'!E104)</f>
        <v>0.5</v>
      </c>
      <c r="G98" s="396">
        <f>IF('data input for RPA'!F104="","",'data input for RPA'!F104)</f>
      </c>
      <c r="H98" s="9" t="str">
        <f t="shared" si="17"/>
        <v>All ND, MDL&lt;C, MEC=MDL</v>
      </c>
      <c r="I98" s="101">
        <f t="shared" si="18"/>
        <v>0.5</v>
      </c>
      <c r="J98" s="101" t="str">
        <f t="shared" si="19"/>
        <v>MEC&lt;C, go to Step 5</v>
      </c>
      <c r="K98" s="448"/>
      <c r="L98" s="417" t="str">
        <f>IF('data input for RPA'!I104="","",'data input for RPA'!I104)</f>
        <v>Y</v>
      </c>
      <c r="M98" s="417" t="str">
        <f>IF('data input for RPA'!J104="","",'data input for RPA'!J104)</f>
        <v>Y</v>
      </c>
      <c r="N98" s="434">
        <f>IF('data input for RPA'!K104="","",'data input for RPA'!K104)</f>
        <v>0.5</v>
      </c>
      <c r="O98" s="435">
        <f>IF('data input for RPA'!L104="","",'data input for RPA'!L104)</f>
      </c>
      <c r="P98" s="431" t="str">
        <f t="shared" si="20"/>
        <v>N</v>
      </c>
      <c r="Q98" s="468" t="str">
        <f t="shared" si="21"/>
        <v>No detected value of B, Step 7</v>
      </c>
      <c r="R98" s="417">
        <f>'data input for RPA'!O104</f>
      </c>
      <c r="S98" s="407" t="str">
        <f t="shared" si="16"/>
        <v>No</v>
      </c>
      <c r="T98" s="465" t="str">
        <f t="shared" si="22"/>
        <v>No</v>
      </c>
      <c r="U98" s="105" t="str">
        <f t="shared" si="24"/>
        <v>MEC&lt;C &amp; B is ND</v>
      </c>
      <c r="V98" s="452" t="str">
        <f t="shared" si="23"/>
        <v>MEC&lt;C &amp; B is ND</v>
      </c>
    </row>
    <row r="99" spans="1:22" ht="15">
      <c r="A99" s="6">
        <v>94</v>
      </c>
      <c r="B99" s="7" t="s">
        <v>107</v>
      </c>
      <c r="C99" s="261" t="str">
        <f>Criteria!C105</f>
        <v>No Criteria</v>
      </c>
      <c r="D99" s="100" t="str">
        <f>'data input for RPA'!C105</f>
        <v>Y</v>
      </c>
      <c r="E99" s="100" t="str">
        <f>IF('data input for RPA'!D105="","",'data input for RPA'!D105)</f>
        <v>Y</v>
      </c>
      <c r="F99" s="396">
        <f>IF('data input for RPA'!E105="","",'data input for RPA'!E105)</f>
        <v>0.74</v>
      </c>
      <c r="G99" s="396">
        <f>IF('data input for RPA'!F105="","",'data input for RPA'!F105)</f>
      </c>
      <c r="H99" s="9" t="str">
        <f t="shared" si="17"/>
        <v>No Criteria</v>
      </c>
      <c r="I99" s="101" t="str">
        <f t="shared" si="18"/>
        <v>No Criteria</v>
      </c>
      <c r="J99" s="101" t="str">
        <f t="shared" si="19"/>
        <v>No Criteria</v>
      </c>
      <c r="K99" s="448"/>
      <c r="L99" s="417" t="str">
        <f>IF('data input for RPA'!I105="","",'data input for RPA'!I105)</f>
        <v>Y</v>
      </c>
      <c r="M99" s="417" t="str">
        <f>IF('data input for RPA'!J105="","",'data input for RPA'!J105)</f>
        <v>Y</v>
      </c>
      <c r="N99" s="434">
        <f>IF('data input for RPA'!K105="","",'data input for RPA'!K105)</f>
        <v>0.74</v>
      </c>
      <c r="O99" s="435">
        <f>IF('data input for RPA'!L105="","",'data input for RPA'!L105)</f>
      </c>
      <c r="P99" s="431" t="str">
        <f t="shared" si="20"/>
        <v>N</v>
      </c>
      <c r="Q99" s="468" t="str">
        <f t="shared" si="21"/>
        <v>No Criteria</v>
      </c>
      <c r="R99" s="417" t="str">
        <f>'data input for RPA'!O105</f>
        <v>No Criteria</v>
      </c>
      <c r="S99" s="407" t="str">
        <f t="shared" si="16"/>
        <v>Uo</v>
      </c>
      <c r="T99" s="465" t="str">
        <f t="shared" si="22"/>
        <v>Uo</v>
      </c>
      <c r="U99" s="105" t="str">
        <f t="shared" si="24"/>
        <v>No Criteria</v>
      </c>
      <c r="V99" s="452" t="str">
        <f t="shared" si="23"/>
        <v>No Criteria</v>
      </c>
    </row>
    <row r="100" spans="1:22" ht="15">
      <c r="A100" s="6">
        <v>95</v>
      </c>
      <c r="B100" s="7" t="s">
        <v>108</v>
      </c>
      <c r="C100" s="261">
        <f>Criteria!C106</f>
        <v>1900</v>
      </c>
      <c r="D100" s="100" t="str">
        <f>'data input for RPA'!C106</f>
        <v>Y</v>
      </c>
      <c r="E100" s="100" t="str">
        <f>IF('data input for RPA'!D106="","",'data input for RPA'!D106)</f>
        <v>Y</v>
      </c>
      <c r="F100" s="396">
        <f>IF('data input for RPA'!E106="","",'data input for RPA'!E106)</f>
        <v>0.5</v>
      </c>
      <c r="G100" s="396">
        <f>IF('data input for RPA'!F106="","",'data input for RPA'!F106)</f>
      </c>
      <c r="H100" s="9" t="str">
        <f t="shared" si="17"/>
        <v>All ND, MDL&lt;C, MEC=MDL</v>
      </c>
      <c r="I100" s="101">
        <f t="shared" si="18"/>
        <v>0.5</v>
      </c>
      <c r="J100" s="101" t="str">
        <f t="shared" si="19"/>
        <v>MEC&lt;C, go to Step 5</v>
      </c>
      <c r="K100" s="448"/>
      <c r="L100" s="417" t="str">
        <f>IF('data input for RPA'!I106="","",'data input for RPA'!I106)</f>
        <v>Y</v>
      </c>
      <c r="M100" s="417" t="str">
        <f>IF('data input for RPA'!J106="","",'data input for RPA'!J106)</f>
        <v>Y</v>
      </c>
      <c r="N100" s="434">
        <f>IF('data input for RPA'!K106="","",'data input for RPA'!K106)</f>
        <v>0.5</v>
      </c>
      <c r="O100" s="435">
        <f>IF('data input for RPA'!L106="","",'data input for RPA'!L106)</f>
      </c>
      <c r="P100" s="431" t="str">
        <f t="shared" si="20"/>
        <v>N</v>
      </c>
      <c r="Q100" s="468" t="str">
        <f t="shared" si="21"/>
        <v>No detected value of B, Step 7</v>
      </c>
      <c r="R100" s="417">
        <f>'data input for RPA'!O106</f>
      </c>
      <c r="S100" s="407" t="str">
        <f t="shared" si="16"/>
        <v>No</v>
      </c>
      <c r="T100" s="465" t="str">
        <f t="shared" si="22"/>
        <v>No</v>
      </c>
      <c r="U100" s="105" t="str">
        <f t="shared" si="24"/>
        <v>MEC&lt;C &amp; B is ND</v>
      </c>
      <c r="V100" s="452" t="str">
        <f t="shared" si="23"/>
        <v>MEC&lt;C &amp; B is ND</v>
      </c>
    </row>
    <row r="101" spans="1:22" ht="15">
      <c r="A101" s="6">
        <v>96</v>
      </c>
      <c r="B101" s="7" t="s">
        <v>109</v>
      </c>
      <c r="C101" s="261">
        <f>Criteria!C107</f>
        <v>8.1</v>
      </c>
      <c r="D101" s="100" t="str">
        <f>'data input for RPA'!C107</f>
        <v>Y</v>
      </c>
      <c r="E101" s="100" t="str">
        <f>IF('data input for RPA'!D107="","",'data input for RPA'!D107)</f>
        <v>Y</v>
      </c>
      <c r="F101" s="396">
        <f>IF('data input for RPA'!E107="","",'data input for RPA'!E107)</f>
        <v>0.5</v>
      </c>
      <c r="G101" s="396">
        <f>IF('data input for RPA'!F107="","",'data input for RPA'!F107)</f>
      </c>
      <c r="H101" s="9" t="str">
        <f t="shared" si="17"/>
        <v>All ND, MDL&lt;C, MEC=MDL</v>
      </c>
      <c r="I101" s="101">
        <f t="shared" si="18"/>
        <v>0.5</v>
      </c>
      <c r="J101" s="101" t="str">
        <f t="shared" si="19"/>
        <v>MEC&lt;C, go to Step 5</v>
      </c>
      <c r="K101" s="448"/>
      <c r="L101" s="417" t="str">
        <f>IF('data input for RPA'!I107="","",'data input for RPA'!I107)</f>
        <v>Y</v>
      </c>
      <c r="M101" s="417" t="str">
        <f>IF('data input for RPA'!J107="","",'data input for RPA'!J107)</f>
        <v>Y</v>
      </c>
      <c r="N101" s="434">
        <f>IF('data input for RPA'!K107="","",'data input for RPA'!K107)</f>
        <v>0.5</v>
      </c>
      <c r="O101" s="435">
        <f>IF('data input for RPA'!L107="","",'data input for RPA'!L107)</f>
      </c>
      <c r="P101" s="431" t="str">
        <f t="shared" si="20"/>
        <v>N</v>
      </c>
      <c r="Q101" s="468" t="str">
        <f t="shared" si="21"/>
        <v>No detected value of B, Step 7</v>
      </c>
      <c r="R101" s="417">
        <f>'data input for RPA'!O107</f>
      </c>
      <c r="S101" s="407" t="str">
        <f t="shared" si="16"/>
        <v>No</v>
      </c>
      <c r="T101" s="465" t="str">
        <f t="shared" si="22"/>
        <v>No</v>
      </c>
      <c r="U101" s="105" t="str">
        <f t="shared" si="24"/>
        <v>MEC&lt;C &amp; B is ND</v>
      </c>
      <c r="V101" s="452" t="str">
        <f t="shared" si="23"/>
        <v>MEC&lt;C &amp; B is ND</v>
      </c>
    </row>
    <row r="102" spans="1:22" ht="15">
      <c r="A102" s="6">
        <v>97</v>
      </c>
      <c r="B102" s="7" t="s">
        <v>110</v>
      </c>
      <c r="C102" s="261">
        <f>Criteria!C108</f>
        <v>1.4</v>
      </c>
      <c r="D102" s="100" t="str">
        <f>'data input for RPA'!C108</f>
        <v>Y</v>
      </c>
      <c r="E102" s="100" t="str">
        <f>IF('data input for RPA'!D108="","",'data input for RPA'!D108)</f>
        <v>Y</v>
      </c>
      <c r="F102" s="396">
        <f>IF('data input for RPA'!E108="","",'data input for RPA'!E108)</f>
        <v>1</v>
      </c>
      <c r="G102" s="396">
        <f>IF('data input for RPA'!F108="","",'data input for RPA'!F108)</f>
      </c>
      <c r="H102" s="9" t="str">
        <f t="shared" si="17"/>
        <v>All ND, MDL&lt;C, MEC=MDL</v>
      </c>
      <c r="I102" s="101">
        <f t="shared" si="18"/>
        <v>1</v>
      </c>
      <c r="J102" s="101" t="str">
        <f t="shared" si="19"/>
        <v>MEC&lt;C, go to Step 5</v>
      </c>
      <c r="K102" s="448"/>
      <c r="L102" s="417" t="str">
        <f>IF('data input for RPA'!I108="","",'data input for RPA'!I108)</f>
        <v>Y</v>
      </c>
      <c r="M102" s="417" t="str">
        <f>IF('data input for RPA'!J108="","",'data input for RPA'!J108)</f>
        <v>Y</v>
      </c>
      <c r="N102" s="434">
        <f>IF('data input for RPA'!K108="","",'data input for RPA'!K108)</f>
        <v>1</v>
      </c>
      <c r="O102" s="435">
        <f>IF('data input for RPA'!L108="","",'data input for RPA'!L108)</f>
      </c>
      <c r="P102" s="431" t="str">
        <f t="shared" si="20"/>
        <v>N</v>
      </c>
      <c r="Q102" s="468" t="str">
        <f t="shared" si="21"/>
        <v>No detected value of B, Step 7</v>
      </c>
      <c r="R102" s="417">
        <f>'data input for RPA'!O108</f>
      </c>
      <c r="S102" s="407" t="str">
        <f t="shared" si="16"/>
        <v>No</v>
      </c>
      <c r="T102" s="465" t="str">
        <f t="shared" si="22"/>
        <v>No</v>
      </c>
      <c r="U102" s="105" t="str">
        <f t="shared" si="24"/>
        <v>MEC&lt;C &amp; B is ND</v>
      </c>
      <c r="V102" s="452" t="str">
        <f t="shared" si="23"/>
        <v>MEC&lt;C &amp; B is ND</v>
      </c>
    </row>
    <row r="103" spans="1:22" ht="15">
      <c r="A103" s="6">
        <v>98</v>
      </c>
      <c r="B103" s="7" t="s">
        <v>111</v>
      </c>
      <c r="C103" s="261">
        <f>Criteria!C109</f>
        <v>16</v>
      </c>
      <c r="D103" s="100" t="str">
        <f>'data input for RPA'!C109</f>
        <v>Y</v>
      </c>
      <c r="E103" s="100" t="str">
        <f>IF('data input for RPA'!D109="","",'data input for RPA'!D109)</f>
        <v>Y</v>
      </c>
      <c r="F103" s="396">
        <f>IF('data input for RPA'!E109="","",'data input for RPA'!E109)</f>
        <v>0.5</v>
      </c>
      <c r="G103" s="396">
        <f>IF('data input for RPA'!F109="","",'data input for RPA'!F109)</f>
      </c>
      <c r="H103" s="9" t="str">
        <f t="shared" si="17"/>
        <v>All ND, MDL&lt;C, MEC=MDL</v>
      </c>
      <c r="I103" s="101">
        <f t="shared" si="18"/>
        <v>0.5</v>
      </c>
      <c r="J103" s="101" t="str">
        <f t="shared" si="19"/>
        <v>MEC&lt;C, go to Step 5</v>
      </c>
      <c r="K103" s="448"/>
      <c r="L103" s="417" t="str">
        <f>IF('data input for RPA'!I109="","",'data input for RPA'!I109)</f>
        <v>Y</v>
      </c>
      <c r="M103" s="417" t="str">
        <f>IF('data input for RPA'!J109="","",'data input for RPA'!J109)</f>
        <v>Y</v>
      </c>
      <c r="N103" s="434">
        <f>IF('data input for RPA'!K109="","",'data input for RPA'!K109)</f>
        <v>0.5</v>
      </c>
      <c r="O103" s="435">
        <f>IF('data input for RPA'!L109="","",'data input for RPA'!L109)</f>
      </c>
      <c r="P103" s="431" t="str">
        <f t="shared" si="20"/>
        <v>N</v>
      </c>
      <c r="Q103" s="468" t="str">
        <f t="shared" si="21"/>
        <v>No detected value of B, Step 7</v>
      </c>
      <c r="R103" s="417">
        <f>'data input for RPA'!O109</f>
      </c>
      <c r="S103" s="407" t="str">
        <f t="shared" si="16"/>
        <v>No</v>
      </c>
      <c r="T103" s="465" t="str">
        <f t="shared" si="22"/>
        <v>No</v>
      </c>
      <c r="U103" s="105" t="str">
        <f t="shared" si="24"/>
        <v>MEC&lt;C &amp; B is ND</v>
      </c>
      <c r="V103" s="452" t="str">
        <f t="shared" si="23"/>
        <v>MEC&lt;C &amp; B is ND</v>
      </c>
    </row>
    <row r="104" spans="1:22" ht="15">
      <c r="A104" s="6">
        <v>99</v>
      </c>
      <c r="B104" s="7" t="s">
        <v>112</v>
      </c>
      <c r="C104" s="261" t="str">
        <f>Criteria!C110</f>
        <v>No Criteria</v>
      </c>
      <c r="D104" s="100" t="str">
        <f>'data input for RPA'!C110</f>
        <v>Y</v>
      </c>
      <c r="E104" s="100" t="str">
        <f>IF('data input for RPA'!D110="","",'data input for RPA'!D110)</f>
        <v>Y</v>
      </c>
      <c r="F104" s="396">
        <f>IF('data input for RPA'!E110="","",'data input for RPA'!E110)</f>
        <v>1.5</v>
      </c>
      <c r="G104" s="396">
        <f>IF('data input for RPA'!F110="","",'data input for RPA'!F110)</f>
      </c>
      <c r="H104" s="9" t="str">
        <f t="shared" si="17"/>
        <v>No Criteria</v>
      </c>
      <c r="I104" s="101" t="str">
        <f t="shared" si="18"/>
        <v>No Criteria</v>
      </c>
      <c r="J104" s="101" t="str">
        <f t="shared" si="19"/>
        <v>No Criteria</v>
      </c>
      <c r="K104" s="448"/>
      <c r="L104" s="417" t="str">
        <f>IF('data input for RPA'!I110="","",'data input for RPA'!I110)</f>
        <v>Y</v>
      </c>
      <c r="M104" s="417" t="str">
        <f>IF('data input for RPA'!J110="","",'data input for RPA'!J110)</f>
        <v>Y</v>
      </c>
      <c r="N104" s="434">
        <f>IF('data input for RPA'!K110="","",'data input for RPA'!K110)</f>
        <v>0.05</v>
      </c>
      <c r="O104" s="435">
        <f>IF('data input for RPA'!L110="","",'data input for RPA'!L110)</f>
      </c>
      <c r="P104" s="431" t="str">
        <f t="shared" si="20"/>
        <v>N</v>
      </c>
      <c r="Q104" s="468" t="str">
        <f t="shared" si="21"/>
        <v>No Criteria</v>
      </c>
      <c r="R104" s="417" t="str">
        <f>'data input for RPA'!O110</f>
        <v>No Criteria</v>
      </c>
      <c r="S104" s="407" t="str">
        <f t="shared" si="16"/>
        <v>Uo</v>
      </c>
      <c r="T104" s="465" t="str">
        <f t="shared" si="22"/>
        <v>Uo</v>
      </c>
      <c r="U104" s="105" t="str">
        <f t="shared" si="24"/>
        <v>No Criteria</v>
      </c>
      <c r="V104" s="452" t="str">
        <f t="shared" si="23"/>
        <v>No Criteria</v>
      </c>
    </row>
    <row r="105" spans="1:22" ht="15">
      <c r="A105" s="6">
        <v>100</v>
      </c>
      <c r="B105" s="7" t="s">
        <v>113</v>
      </c>
      <c r="C105" s="261">
        <f>Criteria!C111</f>
        <v>11000</v>
      </c>
      <c r="D105" s="100" t="str">
        <f>'data input for RPA'!C111</f>
        <v>Y</v>
      </c>
      <c r="E105" s="100" t="str">
        <f>IF('data input for RPA'!D111="","",'data input for RPA'!D111)</f>
        <v>Y</v>
      </c>
      <c r="F105" s="396">
        <f>IF('data input for RPA'!E111="","",'data input for RPA'!E111)</f>
        <v>3.6</v>
      </c>
      <c r="G105" s="396">
        <f>IF('data input for RPA'!F111="","",'data input for RPA'!F111)</f>
      </c>
      <c r="H105" s="9" t="str">
        <f t="shared" si="17"/>
        <v>All ND, MDL&lt;C, MEC=MDL</v>
      </c>
      <c r="I105" s="101">
        <f t="shared" si="18"/>
        <v>3.6</v>
      </c>
      <c r="J105" s="101" t="str">
        <f t="shared" si="19"/>
        <v>MEC&lt;C, go to Step 5</v>
      </c>
      <c r="K105" s="448"/>
      <c r="L105" s="417" t="str">
        <f>IF('data input for RPA'!I111="","",'data input for RPA'!I111)</f>
        <v>Y</v>
      </c>
      <c r="M105" s="417" t="str">
        <f>IF('data input for RPA'!J111="","",'data input for RPA'!J111)</f>
        <v>Y</v>
      </c>
      <c r="N105" s="434">
        <f>IF('data input for RPA'!K111="","",'data input for RPA'!K111)</f>
        <v>0.05</v>
      </c>
      <c r="O105" s="435">
        <f>IF('data input for RPA'!L111="","",'data input for RPA'!L111)</f>
      </c>
      <c r="P105" s="431" t="str">
        <f t="shared" si="20"/>
        <v>N</v>
      </c>
      <c r="Q105" s="468" t="str">
        <f t="shared" si="21"/>
        <v>No detected value of B, Step 7</v>
      </c>
      <c r="R105" s="417">
        <f>'data input for RPA'!O111</f>
      </c>
      <c r="S105" s="407" t="str">
        <f t="shared" si="16"/>
        <v>No</v>
      </c>
      <c r="T105" s="465" t="str">
        <f t="shared" si="22"/>
        <v>No</v>
      </c>
      <c r="U105" s="105" t="str">
        <f t="shared" si="24"/>
        <v>MEC&lt;C &amp; B is ND</v>
      </c>
      <c r="V105" s="452" t="str">
        <f t="shared" si="23"/>
        <v>MEC&lt;C &amp; B is ND</v>
      </c>
    </row>
    <row r="106" spans="1:22" ht="15">
      <c r="A106" s="6">
        <v>101</v>
      </c>
      <c r="B106" s="7" t="s">
        <v>114</v>
      </c>
      <c r="C106" s="261" t="str">
        <f>Criteria!C112</f>
        <v>No Criteria</v>
      </c>
      <c r="D106" s="100" t="str">
        <f>'data input for RPA'!C112</f>
        <v>Y</v>
      </c>
      <c r="E106" s="100" t="str">
        <f>IF('data input for RPA'!D112="","",'data input for RPA'!D112)</f>
        <v>Y</v>
      </c>
      <c r="F106" s="396">
        <f>IF('data input for RPA'!E112="","",'data input for RPA'!E112)</f>
        <v>0.33</v>
      </c>
      <c r="G106" s="396">
        <f>IF('data input for RPA'!F112="","",'data input for RPA'!F112)</f>
      </c>
      <c r="H106" s="9" t="str">
        <f t="shared" si="17"/>
        <v>No Criteria</v>
      </c>
      <c r="I106" s="101" t="str">
        <f t="shared" si="18"/>
        <v>No Criteria</v>
      </c>
      <c r="J106" s="101" t="str">
        <f t="shared" si="19"/>
        <v>No Criteria</v>
      </c>
      <c r="K106" s="448"/>
      <c r="L106" s="417" t="str">
        <f>IF('data input for RPA'!I112="","",'data input for RPA'!I112)</f>
        <v>Y</v>
      </c>
      <c r="M106" s="417" t="str">
        <f>IF('data input for RPA'!J112="","",'data input for RPA'!J112)</f>
        <v>Y</v>
      </c>
      <c r="N106" s="434">
        <f>IF('data input for RPA'!K112="","",'data input for RPA'!K112)</f>
        <v>0.33</v>
      </c>
      <c r="O106" s="435">
        <f>IF('data input for RPA'!L112="","",'data input for RPA'!L112)</f>
      </c>
      <c r="P106" s="431" t="str">
        <f t="shared" si="20"/>
        <v>N</v>
      </c>
      <c r="Q106" s="468" t="str">
        <f t="shared" si="21"/>
        <v>No Criteria</v>
      </c>
      <c r="R106" s="417" t="str">
        <f>'data input for RPA'!O112</f>
        <v>No Criteria</v>
      </c>
      <c r="S106" s="407" t="str">
        <f t="shared" si="16"/>
        <v>Uo</v>
      </c>
      <c r="T106" s="465" t="str">
        <f t="shared" si="22"/>
        <v>Uo</v>
      </c>
      <c r="U106" s="105" t="str">
        <f t="shared" si="24"/>
        <v>No Criteria</v>
      </c>
      <c r="V106" s="452" t="str">
        <f t="shared" si="23"/>
        <v>No Criteria</v>
      </c>
    </row>
    <row r="107" spans="1:22" ht="15">
      <c r="A107" s="6">
        <v>102</v>
      </c>
      <c r="B107" s="7" t="s">
        <v>115</v>
      </c>
      <c r="C107" s="261">
        <f>Criteria!C113</f>
        <v>0.00014</v>
      </c>
      <c r="D107" s="100" t="str">
        <f>'data input for RPA'!C113</f>
        <v>Y</v>
      </c>
      <c r="E107" s="100" t="str">
        <f>IF('data input for RPA'!D113="","",'data input for RPA'!D113)</f>
        <v>Y</v>
      </c>
      <c r="F107" s="396">
        <f>IF('data input for RPA'!E113="","",'data input for RPA'!E113)</f>
        <v>0.002</v>
      </c>
      <c r="G107" s="396">
        <f>IF('data input for RPA'!F113="","",'data input for RPA'!F113)</f>
      </c>
      <c r="H107" s="9" t="str">
        <f t="shared" si="17"/>
        <v>All ND, MinDL&gt;C, Go to Step 5, &amp; IM</v>
      </c>
      <c r="I107" s="101">
        <f t="shared" si="18"/>
      </c>
      <c r="J107" s="101">
        <f t="shared" si="19"/>
      </c>
      <c r="K107" s="448"/>
      <c r="L107" s="417" t="str">
        <f>IF('data input for RPA'!I113="","",'data input for RPA'!I113)</f>
        <v>Y</v>
      </c>
      <c r="M107" s="417" t="str">
        <f>IF('data input for RPA'!J113="","",'data input for RPA'!J113)</f>
        <v>Y</v>
      </c>
      <c r="N107" s="434">
        <f>IF('data input for RPA'!K113="","",'data input for RPA'!K113)</f>
        <v>0.002</v>
      </c>
      <c r="O107" s="435">
        <f>IF('data input for RPA'!L113="","",'data input for RPA'!L113)</f>
      </c>
      <c r="P107" s="431" t="str">
        <f t="shared" si="20"/>
        <v>Y</v>
      </c>
      <c r="Q107" s="468" t="str">
        <f t="shared" si="21"/>
        <v>No detected value of B, Step 7</v>
      </c>
      <c r="R107" s="417">
        <f>'data input for RPA'!O113</f>
      </c>
      <c r="S107" s="407" t="str">
        <f t="shared" si="16"/>
        <v>No</v>
      </c>
      <c r="T107" s="465" t="str">
        <f t="shared" si="22"/>
        <v>No</v>
      </c>
      <c r="U107" s="105" t="str">
        <f t="shared" si="24"/>
        <v>Effluent data and B are ND</v>
      </c>
      <c r="V107" s="452" t="str">
        <f t="shared" si="23"/>
        <v>Effluent data and B are ND</v>
      </c>
    </row>
    <row r="108" spans="1:22" ht="15">
      <c r="A108" s="6">
        <v>103</v>
      </c>
      <c r="B108" s="7" t="s">
        <v>116</v>
      </c>
      <c r="C108" s="261">
        <f>Criteria!C114</f>
        <v>0.013</v>
      </c>
      <c r="D108" s="100" t="str">
        <f>'data input for RPA'!C114</f>
        <v>Y</v>
      </c>
      <c r="E108" s="100" t="str">
        <f>IF('data input for RPA'!D114="","",'data input for RPA'!D114)</f>
        <v>Y</v>
      </c>
      <c r="F108" s="396">
        <f>IF('data input for RPA'!E114="","",'data input for RPA'!E114)</f>
        <v>0.005</v>
      </c>
      <c r="G108" s="396">
        <f>IF('data input for RPA'!F114="","",'data input for RPA'!F114)</f>
      </c>
      <c r="H108" s="9" t="str">
        <f t="shared" si="17"/>
        <v>All ND, MDL&lt;C, MEC=MDL</v>
      </c>
      <c r="I108" s="101">
        <f t="shared" si="18"/>
        <v>0.005</v>
      </c>
      <c r="J108" s="101" t="str">
        <f t="shared" si="19"/>
        <v>MEC&lt;C, go to Step 5</v>
      </c>
      <c r="K108" s="448"/>
      <c r="L108" s="417" t="str">
        <f>IF('data input for RPA'!I114="","",'data input for RPA'!I114)</f>
        <v>Y</v>
      </c>
      <c r="M108" s="417" t="str">
        <f>IF('data input for RPA'!J114="","",'data input for RPA'!J114)</f>
        <v>Y</v>
      </c>
      <c r="N108" s="434">
        <f>IF('data input for RPA'!K114="","",'data input for RPA'!K114)</f>
        <v>0.005</v>
      </c>
      <c r="O108" s="435">
        <f>IF('data input for RPA'!L114="","",'data input for RPA'!L114)</f>
      </c>
      <c r="P108" s="431" t="str">
        <f t="shared" si="20"/>
        <v>N</v>
      </c>
      <c r="Q108" s="468" t="str">
        <f t="shared" si="21"/>
        <v>No detected value of B, Step 7</v>
      </c>
      <c r="R108" s="417">
        <f>'data input for RPA'!O114</f>
      </c>
      <c r="S108" s="407" t="str">
        <f t="shared" si="16"/>
        <v>No</v>
      </c>
      <c r="T108" s="465" t="str">
        <f t="shared" si="22"/>
        <v>No</v>
      </c>
      <c r="U108" s="105" t="str">
        <f t="shared" si="24"/>
        <v>MEC&lt;C &amp; B is ND</v>
      </c>
      <c r="V108" s="452" t="str">
        <f t="shared" si="23"/>
        <v>MEC&lt;C &amp; B is ND</v>
      </c>
    </row>
    <row r="109" spans="1:22" ht="15">
      <c r="A109" s="6">
        <v>104</v>
      </c>
      <c r="B109" s="7" t="s">
        <v>117</v>
      </c>
      <c r="C109" s="261">
        <f>Criteria!C115</f>
        <v>0.046</v>
      </c>
      <c r="D109" s="100" t="str">
        <f>'data input for RPA'!C115</f>
        <v>Y</v>
      </c>
      <c r="E109" s="100" t="str">
        <f>IF('data input for RPA'!D115="","",'data input for RPA'!D115)</f>
        <v>Y</v>
      </c>
      <c r="F109" s="396">
        <f>IF('data input for RPA'!E115="","",'data input for RPA'!E115)</f>
        <v>0.002</v>
      </c>
      <c r="G109" s="396">
        <f>IF('data input for RPA'!F115="","",'data input for RPA'!F115)</f>
      </c>
      <c r="H109" s="9" t="str">
        <f t="shared" si="17"/>
        <v>All ND, MDL&lt;C, MEC=MDL</v>
      </c>
      <c r="I109" s="101">
        <f t="shared" si="18"/>
        <v>0.002</v>
      </c>
      <c r="J109" s="101" t="str">
        <f t="shared" si="19"/>
        <v>MEC&lt;C, go to Step 5</v>
      </c>
      <c r="K109" s="448"/>
      <c r="L109" s="417" t="str">
        <f>IF('data input for RPA'!I115="","",'data input for RPA'!I115)</f>
        <v>Y</v>
      </c>
      <c r="M109" s="417" t="str">
        <f>IF('data input for RPA'!J115="","",'data input for RPA'!J115)</f>
        <v>Y</v>
      </c>
      <c r="N109" s="434">
        <f>IF('data input for RPA'!K115="","",'data input for RPA'!K115)</f>
        <v>0.002</v>
      </c>
      <c r="O109" s="435">
        <f>IF('data input for RPA'!L115="","",'data input for RPA'!L115)</f>
      </c>
      <c r="P109" s="431" t="str">
        <f t="shared" si="20"/>
        <v>N</v>
      </c>
      <c r="Q109" s="468" t="str">
        <f t="shared" si="21"/>
        <v>No detected value of B, Step 7</v>
      </c>
      <c r="R109" s="417">
        <f>'data input for RPA'!O115</f>
      </c>
      <c r="S109" s="407" t="str">
        <f t="shared" si="16"/>
        <v>No</v>
      </c>
      <c r="T109" s="465" t="str">
        <f t="shared" si="22"/>
        <v>No</v>
      </c>
      <c r="U109" s="105" t="str">
        <f t="shared" si="24"/>
        <v>MEC&lt;C &amp; B is ND</v>
      </c>
      <c r="V109" s="452" t="str">
        <f t="shared" si="23"/>
        <v>MEC&lt;C &amp; B is ND</v>
      </c>
    </row>
    <row r="110" spans="1:22" ht="15">
      <c r="A110" s="6">
        <v>105</v>
      </c>
      <c r="B110" s="7" t="s">
        <v>118</v>
      </c>
      <c r="C110" s="261">
        <f>Criteria!C116</f>
        <v>0.063</v>
      </c>
      <c r="D110" s="100" t="str">
        <f>'data input for RPA'!C116</f>
        <v>Y</v>
      </c>
      <c r="E110" s="100" t="str">
        <f>IF('data input for RPA'!D116="","",'data input for RPA'!D116)</f>
        <v>Y</v>
      </c>
      <c r="F110" s="396">
        <f>IF('data input for RPA'!E116="","",'data input for RPA'!E116)</f>
        <v>0.005</v>
      </c>
      <c r="G110" s="396">
        <f>IF('data input for RPA'!F116="","",'data input for RPA'!F116)</f>
      </c>
      <c r="H110" s="9" t="str">
        <f t="shared" si="17"/>
        <v>All ND, MDL&lt;C, MEC=MDL</v>
      </c>
      <c r="I110" s="101">
        <f t="shared" si="18"/>
        <v>0.005</v>
      </c>
      <c r="J110" s="101" t="str">
        <f t="shared" si="19"/>
        <v>MEC&lt;C, go to Step 5</v>
      </c>
      <c r="K110" s="448"/>
      <c r="L110" s="417" t="str">
        <f>IF('data input for RPA'!I116="","",'data input for RPA'!I116)</f>
        <v>Y</v>
      </c>
      <c r="M110" s="417" t="str">
        <f>IF('data input for RPA'!J116="","",'data input for RPA'!J116)</f>
        <v>Y</v>
      </c>
      <c r="N110" s="434">
        <f>IF('data input for RPA'!K116="","",'data input for RPA'!K116)</f>
        <v>0.005</v>
      </c>
      <c r="O110" s="435">
        <f>IF('data input for RPA'!L116="","",'data input for RPA'!L116)</f>
      </c>
      <c r="P110" s="431" t="str">
        <f t="shared" si="20"/>
        <v>N</v>
      </c>
      <c r="Q110" s="468" t="str">
        <f t="shared" si="21"/>
        <v>No detected value of B, Step 7</v>
      </c>
      <c r="R110" s="417">
        <f>'data input for RPA'!O116</f>
      </c>
      <c r="S110" s="407" t="str">
        <f t="shared" si="16"/>
        <v>No</v>
      </c>
      <c r="T110" s="465" t="str">
        <f t="shared" si="22"/>
        <v>No</v>
      </c>
      <c r="U110" s="105" t="str">
        <f t="shared" si="24"/>
        <v>MEC&lt;C &amp; B is ND</v>
      </c>
      <c r="V110" s="452" t="str">
        <f t="shared" si="23"/>
        <v>MEC&lt;C &amp; B is ND</v>
      </c>
    </row>
    <row r="111" spans="1:22" ht="15">
      <c r="A111" s="6">
        <v>106</v>
      </c>
      <c r="B111" s="7" t="s">
        <v>119</v>
      </c>
      <c r="C111" s="261" t="str">
        <f>Criteria!C117</f>
        <v>No Criteria</v>
      </c>
      <c r="D111" s="100" t="str">
        <f>'data input for RPA'!C117</f>
        <v>Y</v>
      </c>
      <c r="E111" s="100" t="str">
        <f>IF('data input for RPA'!D117="","",'data input for RPA'!D117)</f>
        <v>Y</v>
      </c>
      <c r="F111" s="396">
        <f>IF('data input for RPA'!E117="","",'data input for RPA'!E117)</f>
        <v>0.002</v>
      </c>
      <c r="G111" s="396">
        <f>IF('data input for RPA'!F117="","",'data input for RPA'!F117)</f>
      </c>
      <c r="H111" s="9" t="str">
        <f t="shared" si="17"/>
        <v>No Criteria</v>
      </c>
      <c r="I111" s="101" t="str">
        <f t="shared" si="18"/>
        <v>No Criteria</v>
      </c>
      <c r="J111" s="101" t="str">
        <f t="shared" si="19"/>
        <v>No Criteria</v>
      </c>
      <c r="K111" s="448"/>
      <c r="L111" s="417" t="str">
        <f>IF('data input for RPA'!I117="","",'data input for RPA'!I117)</f>
        <v>Y</v>
      </c>
      <c r="M111" s="417" t="str">
        <f>IF('data input for RPA'!J117="","",'data input for RPA'!J117)</f>
        <v>Y</v>
      </c>
      <c r="N111" s="434">
        <f>IF('data input for RPA'!K117="","",'data input for RPA'!K117)</f>
        <v>0.002</v>
      </c>
      <c r="O111" s="435">
        <f>IF('data input for RPA'!L117="","",'data input for RPA'!L117)</f>
      </c>
      <c r="P111" s="431" t="str">
        <f t="shared" si="20"/>
        <v>N</v>
      </c>
      <c r="Q111" s="468" t="str">
        <f t="shared" si="21"/>
        <v>No Criteria</v>
      </c>
      <c r="R111" s="417" t="str">
        <f>'data input for RPA'!O117</f>
        <v>No Criteria</v>
      </c>
      <c r="S111" s="407" t="str">
        <f t="shared" si="16"/>
        <v>Uo</v>
      </c>
      <c r="T111" s="465" t="str">
        <f t="shared" si="22"/>
        <v>Uo</v>
      </c>
      <c r="U111" s="105" t="str">
        <f t="shared" si="24"/>
        <v>No Criteria</v>
      </c>
      <c r="V111" s="452" t="str">
        <f t="shared" si="23"/>
        <v>No Criteria</v>
      </c>
    </row>
    <row r="112" spans="1:22" ht="15">
      <c r="A112" s="12">
        <v>107</v>
      </c>
      <c r="B112" s="13" t="s">
        <v>120</v>
      </c>
      <c r="C112" s="261">
        <f>Criteria!C118</f>
        <v>0.00059</v>
      </c>
      <c r="D112" s="100" t="str">
        <f>'data input for RPA'!C118</f>
        <v>Y</v>
      </c>
      <c r="E112" s="100" t="str">
        <f>IF('data input for RPA'!D118="","",'data input for RPA'!D118)</f>
        <v>Y</v>
      </c>
      <c r="F112" s="396">
        <f>IF('data input for RPA'!E118="","",'data input for RPA'!E118)</f>
        <v>0.01</v>
      </c>
      <c r="G112" s="396">
        <f>IF('data input for RPA'!F118="","",'data input for RPA'!F118)</f>
      </c>
      <c r="H112" s="9" t="str">
        <f t="shared" si="17"/>
        <v>All ND, MinDL&gt;C, Go to Step 5, &amp; IM</v>
      </c>
      <c r="I112" s="101">
        <f t="shared" si="18"/>
      </c>
      <c r="J112" s="101">
        <f t="shared" si="19"/>
      </c>
      <c r="K112" s="448"/>
      <c r="L112" s="417" t="str">
        <f>IF('data input for RPA'!I118="","",'data input for RPA'!I118)</f>
        <v>Y</v>
      </c>
      <c r="M112" s="417" t="str">
        <f>IF('data input for RPA'!J118="","",'data input for RPA'!J118)</f>
        <v>Y</v>
      </c>
      <c r="N112" s="434">
        <f>IF('data input for RPA'!K118="","",'data input for RPA'!K118)</f>
        <v>0.01</v>
      </c>
      <c r="O112" s="435">
        <f>IF('data input for RPA'!L118="","",'data input for RPA'!L118)</f>
      </c>
      <c r="P112" s="431" t="str">
        <f t="shared" si="20"/>
        <v>Y</v>
      </c>
      <c r="Q112" s="468" t="str">
        <f t="shared" si="21"/>
        <v>No detected value of B, Step 7</v>
      </c>
      <c r="R112" s="417">
        <f>'data input for RPA'!O118</f>
      </c>
      <c r="S112" s="407" t="str">
        <f t="shared" si="16"/>
        <v>No</v>
      </c>
      <c r="T112" s="465" t="str">
        <f t="shared" si="22"/>
        <v>No</v>
      </c>
      <c r="U112" s="105" t="str">
        <f t="shared" si="24"/>
        <v>Effluent data and B are ND</v>
      </c>
      <c r="V112" s="452" t="str">
        <f t="shared" si="23"/>
        <v>Effluent data and B are ND</v>
      </c>
    </row>
    <row r="113" spans="1:22" ht="15">
      <c r="A113" s="12">
        <v>108</v>
      </c>
      <c r="B113" s="13" t="s">
        <v>121</v>
      </c>
      <c r="C113" s="261">
        <f>Criteria!C119</f>
        <v>0.00059</v>
      </c>
      <c r="D113" s="100" t="str">
        <f>'data input for RPA'!C119</f>
        <v>Y</v>
      </c>
      <c r="E113" s="100" t="str">
        <f>IF('data input for RPA'!D119="","",'data input for RPA'!D119)</f>
        <v>Y</v>
      </c>
      <c r="F113" s="396">
        <f>IF('data input for RPA'!E119="","",'data input for RPA'!E119)</f>
        <v>0.005</v>
      </c>
      <c r="G113" s="396">
        <f>IF('data input for RPA'!F119="","",'data input for RPA'!F119)</f>
      </c>
      <c r="H113" s="9" t="str">
        <f t="shared" si="17"/>
        <v>All ND, MinDL&gt;C, Go to Step 5, &amp; IM</v>
      </c>
      <c r="I113" s="101">
        <f t="shared" si="18"/>
      </c>
      <c r="J113" s="101">
        <f t="shared" si="19"/>
      </c>
      <c r="K113" s="448"/>
      <c r="L113" s="417" t="str">
        <f>IF('data input for RPA'!I119="","",'data input for RPA'!I119)</f>
        <v>Y</v>
      </c>
      <c r="M113" s="417" t="str">
        <f>IF('data input for RPA'!J119="","",'data input for RPA'!J119)</f>
        <v>Y</v>
      </c>
      <c r="N113" s="434">
        <f>IF('data input for RPA'!K119="","",'data input for RPA'!K119)</f>
        <v>0.005</v>
      </c>
      <c r="O113" s="435">
        <f>IF('data input for RPA'!L119="","",'data input for RPA'!L119)</f>
      </c>
      <c r="P113" s="431" t="str">
        <f t="shared" si="20"/>
        <v>Y</v>
      </c>
      <c r="Q113" s="468" t="str">
        <f t="shared" si="21"/>
        <v>No detected value of B, Step 7</v>
      </c>
      <c r="R113" s="417">
        <f>'data input for RPA'!O119</f>
      </c>
      <c r="S113" s="407" t="str">
        <f t="shared" si="16"/>
        <v>No</v>
      </c>
      <c r="T113" s="465" t="str">
        <f t="shared" si="22"/>
        <v>No</v>
      </c>
      <c r="U113" s="105" t="str">
        <f t="shared" si="24"/>
        <v>Effluent data and B are ND</v>
      </c>
      <c r="V113" s="452" t="str">
        <f t="shared" si="23"/>
        <v>Effluent data and B are ND</v>
      </c>
    </row>
    <row r="114" spans="1:22" ht="15">
      <c r="A114" s="6">
        <v>109</v>
      </c>
      <c r="B114" s="10" t="s">
        <v>122</v>
      </c>
      <c r="C114" s="261">
        <f>Criteria!C120</f>
        <v>0.00059</v>
      </c>
      <c r="D114" s="100" t="str">
        <f>'data input for RPA'!C120</f>
        <v>Y</v>
      </c>
      <c r="E114" s="100" t="str">
        <f>IF('data input for RPA'!D120="","",'data input for RPA'!D120)</f>
        <v>Y</v>
      </c>
      <c r="F114" s="396">
        <f>IF('data input for RPA'!E120="","",'data input for RPA'!E120)</f>
        <v>0.005</v>
      </c>
      <c r="G114" s="396">
        <f>IF('data input for RPA'!F120="","",'data input for RPA'!F120)</f>
      </c>
      <c r="H114" s="9" t="str">
        <f t="shared" si="17"/>
        <v>All ND, MinDL&gt;C, Go to Step 5, &amp; IM</v>
      </c>
      <c r="I114" s="101">
        <f t="shared" si="18"/>
      </c>
      <c r="J114" s="101">
        <f t="shared" si="19"/>
      </c>
      <c r="K114" s="448"/>
      <c r="L114" s="417" t="str">
        <f>IF('data input for RPA'!I120="","",'data input for RPA'!I120)</f>
        <v>Y</v>
      </c>
      <c r="M114" s="417" t="str">
        <f>IF('data input for RPA'!J120="","",'data input for RPA'!J120)</f>
        <v>Y</v>
      </c>
      <c r="N114" s="434">
        <f>IF('data input for RPA'!K120="","",'data input for RPA'!K120)</f>
        <v>0.005</v>
      </c>
      <c r="O114" s="435">
        <f>IF('data input for RPA'!L120="","",'data input for RPA'!L120)</f>
      </c>
      <c r="P114" s="431" t="str">
        <f t="shared" si="20"/>
        <v>Y</v>
      </c>
      <c r="Q114" s="468" t="str">
        <f t="shared" si="21"/>
        <v>No detected value of B, Step 7</v>
      </c>
      <c r="R114" s="417">
        <f>'data input for RPA'!O120</f>
      </c>
      <c r="S114" s="407" t="str">
        <f t="shared" si="16"/>
        <v>No</v>
      </c>
      <c r="T114" s="465" t="str">
        <f t="shared" si="22"/>
        <v>No</v>
      </c>
      <c r="U114" s="105" t="str">
        <f t="shared" si="24"/>
        <v>Effluent data and B are ND</v>
      </c>
      <c r="V114" s="452" t="str">
        <f t="shared" si="23"/>
        <v>Effluent data and B are ND</v>
      </c>
    </row>
    <row r="115" spans="1:22" ht="15">
      <c r="A115" s="6">
        <v>110</v>
      </c>
      <c r="B115" s="7" t="s">
        <v>123</v>
      </c>
      <c r="C115" s="261">
        <f>Criteria!C121</f>
        <v>0.00084</v>
      </c>
      <c r="D115" s="100" t="str">
        <f>'data input for RPA'!C121</f>
        <v>Y</v>
      </c>
      <c r="E115" s="100" t="str">
        <f>IF('data input for RPA'!D121="","",'data input for RPA'!D121)</f>
        <v>Y</v>
      </c>
      <c r="F115" s="396">
        <f>IF('data input for RPA'!E121="","",'data input for RPA'!E121)</f>
        <v>0.01</v>
      </c>
      <c r="G115" s="396">
        <f>IF('data input for RPA'!F121="","",'data input for RPA'!F121)</f>
      </c>
      <c r="H115" s="9" t="str">
        <f t="shared" si="17"/>
        <v>All ND, MinDL&gt;C, Go to Step 5, &amp; IM</v>
      </c>
      <c r="I115" s="101">
        <f t="shared" si="18"/>
      </c>
      <c r="J115" s="101">
        <f t="shared" si="19"/>
      </c>
      <c r="K115" s="448"/>
      <c r="L115" s="417" t="str">
        <f>IF('data input for RPA'!I121="","",'data input for RPA'!I121)</f>
        <v>Y</v>
      </c>
      <c r="M115" s="417" t="str">
        <f>IF('data input for RPA'!J121="","",'data input for RPA'!J121)</f>
        <v>Y</v>
      </c>
      <c r="N115" s="434">
        <f>IF('data input for RPA'!K121="","",'data input for RPA'!K121)</f>
        <v>0.01</v>
      </c>
      <c r="O115" s="435">
        <f>IF('data input for RPA'!L121="","",'data input for RPA'!L121)</f>
      </c>
      <c r="P115" s="431" t="str">
        <f t="shared" si="20"/>
        <v>Y</v>
      </c>
      <c r="Q115" s="468" t="str">
        <f t="shared" si="21"/>
        <v>No detected value of B, Step 7</v>
      </c>
      <c r="R115" s="417">
        <f>'data input for RPA'!O121</f>
      </c>
      <c r="S115" s="407" t="str">
        <f t="shared" si="16"/>
        <v>No</v>
      </c>
      <c r="T115" s="465" t="str">
        <f t="shared" si="22"/>
        <v>No</v>
      </c>
      <c r="U115" s="105" t="str">
        <f t="shared" si="24"/>
        <v>Effluent data and B are ND</v>
      </c>
      <c r="V115" s="452" t="str">
        <f t="shared" si="23"/>
        <v>Effluent data and B are ND</v>
      </c>
    </row>
    <row r="116" spans="1:22" ht="15">
      <c r="A116" s="6">
        <v>111</v>
      </c>
      <c r="B116" s="27" t="s">
        <v>124</v>
      </c>
      <c r="C116" s="261">
        <f>Criteria!C122</f>
        <v>0.00014</v>
      </c>
      <c r="D116" s="100" t="str">
        <f>'data input for RPA'!C122</f>
        <v>Y</v>
      </c>
      <c r="E116" s="100" t="str">
        <f>IF('data input for RPA'!D122="","",'data input for RPA'!D122)</f>
        <v>Y</v>
      </c>
      <c r="F116" s="396">
        <f>IF('data input for RPA'!E122="","",'data input for RPA'!E122)</f>
        <v>0.005</v>
      </c>
      <c r="G116" s="396">
        <f>IF('data input for RPA'!F122="","",'data input for RPA'!F122)</f>
      </c>
      <c r="H116" s="9" t="str">
        <f t="shared" si="17"/>
        <v>All ND, MinDL&gt;C, Go to Step 5, &amp; IM</v>
      </c>
      <c r="I116" s="101">
        <f t="shared" si="18"/>
      </c>
      <c r="J116" s="101">
        <f t="shared" si="19"/>
      </c>
      <c r="K116" s="448"/>
      <c r="L116" s="417" t="str">
        <f>IF('data input for RPA'!I122="","",'data input for RPA'!I122)</f>
        <v>Y</v>
      </c>
      <c r="M116" s="417" t="str">
        <f>IF('data input for RPA'!J122="","",'data input for RPA'!J122)</f>
        <v>Y</v>
      </c>
      <c r="N116" s="434">
        <f>IF('data input for RPA'!K122="","",'data input for RPA'!K122)</f>
        <v>0.005</v>
      </c>
      <c r="O116" s="435">
        <f>IF('data input for RPA'!L122="","",'data input for RPA'!L122)</f>
      </c>
      <c r="P116" s="431" t="str">
        <f t="shared" si="20"/>
        <v>Y</v>
      </c>
      <c r="Q116" s="468" t="str">
        <f t="shared" si="21"/>
        <v>No detected value of B, Step 7</v>
      </c>
      <c r="R116" s="417">
        <f>'data input for RPA'!O122</f>
      </c>
      <c r="S116" s="407" t="str">
        <f t="shared" si="16"/>
        <v>No</v>
      </c>
      <c r="T116" s="465" t="str">
        <f t="shared" si="22"/>
        <v>No</v>
      </c>
      <c r="U116" s="105" t="str">
        <f t="shared" si="24"/>
        <v>Effluent data and B are ND</v>
      </c>
      <c r="V116" s="452" t="str">
        <f t="shared" si="23"/>
        <v>Effluent data and B are ND</v>
      </c>
    </row>
    <row r="117" spans="1:22" ht="15">
      <c r="A117" s="6">
        <v>112</v>
      </c>
      <c r="B117" s="7" t="s">
        <v>125</v>
      </c>
      <c r="C117" s="261">
        <f>Criteria!C123</f>
        <v>0.0087</v>
      </c>
      <c r="D117" s="100" t="str">
        <f>'data input for RPA'!C123</f>
        <v>Y</v>
      </c>
      <c r="E117" s="100" t="str">
        <f>IF('data input for RPA'!D123="","",'data input for RPA'!D123)</f>
        <v>Y</v>
      </c>
      <c r="F117" s="396">
        <f>IF('data input for RPA'!E123="","",'data input for RPA'!E123)</f>
        <v>0.005</v>
      </c>
      <c r="G117" s="396">
        <f>IF('data input for RPA'!F123="","",'data input for RPA'!F123)</f>
      </c>
      <c r="H117" s="9" t="str">
        <f t="shared" si="17"/>
        <v>All ND, MDL&lt;C, MEC=MDL</v>
      </c>
      <c r="I117" s="101">
        <f t="shared" si="18"/>
        <v>0.005</v>
      </c>
      <c r="J117" s="101" t="str">
        <f t="shared" si="19"/>
        <v>MEC&lt;C, go to Step 5</v>
      </c>
      <c r="K117" s="448"/>
      <c r="L117" s="417" t="str">
        <f>IF('data input for RPA'!I123="","",'data input for RPA'!I123)</f>
        <v>Y</v>
      </c>
      <c r="M117" s="417" t="str">
        <f>IF('data input for RPA'!J123="","",'data input for RPA'!J123)</f>
        <v>Y</v>
      </c>
      <c r="N117" s="434">
        <f>IF('data input for RPA'!K123="","",'data input for RPA'!K123)</f>
        <v>0.005</v>
      </c>
      <c r="O117" s="435">
        <f>IF('data input for RPA'!L123="","",'data input for RPA'!L123)</f>
      </c>
      <c r="P117" s="431" t="str">
        <f t="shared" si="20"/>
        <v>N</v>
      </c>
      <c r="Q117" s="468" t="str">
        <f t="shared" si="21"/>
        <v>No detected value of B, Step 7</v>
      </c>
      <c r="R117" s="417">
        <f>'data input for RPA'!O123</f>
      </c>
      <c r="S117" s="407" t="str">
        <f t="shared" si="16"/>
        <v>No</v>
      </c>
      <c r="T117" s="465" t="str">
        <f t="shared" si="22"/>
        <v>No</v>
      </c>
      <c r="U117" s="105" t="str">
        <f t="shared" si="24"/>
        <v>MEC&lt;C &amp; B is ND</v>
      </c>
      <c r="V117" s="452" t="str">
        <f t="shared" si="23"/>
        <v>MEC&lt;C &amp; B is ND</v>
      </c>
    </row>
    <row r="118" spans="1:22" ht="15">
      <c r="A118" s="6">
        <v>113</v>
      </c>
      <c r="B118" s="7" t="s">
        <v>126</v>
      </c>
      <c r="C118" s="261">
        <f>Criteria!C124</f>
        <v>0.0087</v>
      </c>
      <c r="D118" s="100" t="str">
        <f>'data input for RPA'!C124</f>
        <v>Y</v>
      </c>
      <c r="E118" s="100" t="str">
        <f>IF('data input for RPA'!D124="","",'data input for RPA'!D124)</f>
        <v>Y</v>
      </c>
      <c r="F118" s="396">
        <f>IF('data input for RPA'!E124="","",'data input for RPA'!E124)</f>
        <v>0.005</v>
      </c>
      <c r="G118" s="396">
        <f>IF('data input for RPA'!F124="","",'data input for RPA'!F124)</f>
      </c>
      <c r="H118" s="9" t="str">
        <f t="shared" si="17"/>
        <v>All ND, MDL&lt;C, MEC=MDL</v>
      </c>
      <c r="I118" s="101">
        <f t="shared" si="18"/>
        <v>0.005</v>
      </c>
      <c r="J118" s="101" t="str">
        <f t="shared" si="19"/>
        <v>MEC&lt;C, go to Step 5</v>
      </c>
      <c r="K118" s="448"/>
      <c r="L118" s="417" t="str">
        <f>IF('data input for RPA'!I124="","",'data input for RPA'!I124)</f>
        <v>Y</v>
      </c>
      <c r="M118" s="417" t="str">
        <f>IF('data input for RPA'!J124="","",'data input for RPA'!J124)</f>
        <v>Y</v>
      </c>
      <c r="N118" s="434">
        <f>IF('data input for RPA'!K124="","",'data input for RPA'!K124)</f>
        <v>0.005</v>
      </c>
      <c r="O118" s="435">
        <f>IF('data input for RPA'!L124="","",'data input for RPA'!L124)</f>
      </c>
      <c r="P118" s="431" t="str">
        <f t="shared" si="20"/>
        <v>N</v>
      </c>
      <c r="Q118" s="468" t="str">
        <f t="shared" si="21"/>
        <v>No detected value of B, Step 7</v>
      </c>
      <c r="R118" s="417">
        <f>'data input for RPA'!O124</f>
      </c>
      <c r="S118" s="407" t="str">
        <f t="shared" si="16"/>
        <v>No</v>
      </c>
      <c r="T118" s="465" t="str">
        <f t="shared" si="22"/>
        <v>No</v>
      </c>
      <c r="U118" s="105" t="str">
        <f t="shared" si="24"/>
        <v>MEC&lt;C &amp; B is ND</v>
      </c>
      <c r="V118" s="452" t="str">
        <f t="shared" si="23"/>
        <v>MEC&lt;C &amp; B is ND</v>
      </c>
    </row>
    <row r="119" spans="1:22" ht="15">
      <c r="A119" s="6">
        <v>114</v>
      </c>
      <c r="B119" s="7" t="s">
        <v>127</v>
      </c>
      <c r="C119" s="261">
        <f>Criteria!C125</f>
        <v>240</v>
      </c>
      <c r="D119" s="100" t="str">
        <f>'data input for RPA'!C125</f>
        <v>Y</v>
      </c>
      <c r="E119" s="100" t="str">
        <f>IF('data input for RPA'!D125="","",'data input for RPA'!D125)</f>
        <v>Y</v>
      </c>
      <c r="F119" s="396">
        <f>IF('data input for RPA'!E125="","",'data input for RPA'!E125)</f>
        <v>0.01</v>
      </c>
      <c r="G119" s="396">
        <f>IF('data input for RPA'!F125="","",'data input for RPA'!F125)</f>
      </c>
      <c r="H119" s="9" t="str">
        <f t="shared" si="17"/>
        <v>All ND, MDL&lt;C, MEC=MDL</v>
      </c>
      <c r="I119" s="101">
        <f t="shared" si="18"/>
        <v>0.01</v>
      </c>
      <c r="J119" s="101" t="str">
        <f t="shared" si="19"/>
        <v>MEC&lt;C, go to Step 5</v>
      </c>
      <c r="K119" s="448"/>
      <c r="L119" s="417" t="str">
        <f>IF('data input for RPA'!I125="","",'data input for RPA'!I125)</f>
        <v>Y</v>
      </c>
      <c r="M119" s="417" t="str">
        <f>IF('data input for RPA'!J125="","",'data input for RPA'!J125)</f>
        <v>Y</v>
      </c>
      <c r="N119" s="434">
        <f>IF('data input for RPA'!K125="","",'data input for RPA'!K125)</f>
        <v>0.01</v>
      </c>
      <c r="O119" s="435">
        <f>IF('data input for RPA'!L125="","",'data input for RPA'!L125)</f>
      </c>
      <c r="P119" s="431" t="str">
        <f t="shared" si="20"/>
        <v>N</v>
      </c>
      <c r="Q119" s="468" t="str">
        <f t="shared" si="21"/>
        <v>No detected value of B, Step 7</v>
      </c>
      <c r="R119" s="417">
        <f>'data input for RPA'!O125</f>
      </c>
      <c r="S119" s="407" t="str">
        <f t="shared" si="16"/>
        <v>No</v>
      </c>
      <c r="T119" s="465" t="str">
        <f t="shared" si="22"/>
        <v>No</v>
      </c>
      <c r="U119" s="105" t="str">
        <f t="shared" si="24"/>
        <v>MEC&lt;C &amp; B is ND</v>
      </c>
      <c r="V119" s="452" t="str">
        <f t="shared" si="23"/>
        <v>MEC&lt;C &amp; B is ND</v>
      </c>
    </row>
    <row r="120" spans="1:22" ht="15">
      <c r="A120" s="6">
        <v>115</v>
      </c>
      <c r="B120" s="7" t="s">
        <v>128</v>
      </c>
      <c r="C120" s="261">
        <f>Criteria!C126</f>
        <v>0.0023</v>
      </c>
      <c r="D120" s="100" t="str">
        <f>'data input for RPA'!C126</f>
        <v>Y</v>
      </c>
      <c r="E120" s="100" t="str">
        <f>IF('data input for RPA'!D126="","",'data input for RPA'!D126)</f>
        <v>Y</v>
      </c>
      <c r="F120" s="396">
        <f>IF('data input for RPA'!E126="","",'data input for RPA'!E126)</f>
        <v>0.005</v>
      </c>
      <c r="G120" s="396">
        <f>IF('data input for RPA'!F126="","",'data input for RPA'!F126)</f>
      </c>
      <c r="H120" s="9" t="str">
        <f t="shared" si="17"/>
        <v>All ND, MinDL&gt;C, Go to Step 5, &amp; IM</v>
      </c>
      <c r="I120" s="101">
        <f t="shared" si="18"/>
      </c>
      <c r="J120" s="101">
        <f t="shared" si="19"/>
      </c>
      <c r="K120" s="448"/>
      <c r="L120" s="417" t="str">
        <f>IF('data input for RPA'!I126="","",'data input for RPA'!I126)</f>
        <v>Y</v>
      </c>
      <c r="M120" s="417" t="str">
        <f>IF('data input for RPA'!J126="","",'data input for RPA'!J126)</f>
        <v>Y</v>
      </c>
      <c r="N120" s="434">
        <f>IF('data input for RPA'!K126="","",'data input for RPA'!K126)</f>
        <v>0.005</v>
      </c>
      <c r="O120" s="435">
        <f>IF('data input for RPA'!L126="","",'data input for RPA'!L126)</f>
      </c>
      <c r="P120" s="431" t="str">
        <f t="shared" si="20"/>
        <v>Y</v>
      </c>
      <c r="Q120" s="468" t="str">
        <f t="shared" si="21"/>
        <v>No detected value of B, Step 7</v>
      </c>
      <c r="R120" s="417">
        <f>'data input for RPA'!O126</f>
      </c>
      <c r="S120" s="407" t="str">
        <f t="shared" si="16"/>
        <v>No</v>
      </c>
      <c r="T120" s="465" t="str">
        <f t="shared" si="22"/>
        <v>No</v>
      </c>
      <c r="U120" s="105" t="str">
        <f t="shared" si="24"/>
        <v>Effluent data and B are ND</v>
      </c>
      <c r="V120" s="452" t="str">
        <f t="shared" si="23"/>
        <v>Effluent data and B are ND</v>
      </c>
    </row>
    <row r="121" spans="1:22" ht="15">
      <c r="A121" s="6">
        <v>116</v>
      </c>
      <c r="B121" s="7" t="s">
        <v>129</v>
      </c>
      <c r="C121" s="261">
        <f>Criteria!C127</f>
        <v>0.81</v>
      </c>
      <c r="D121" s="100" t="str">
        <f>'data input for RPA'!C127</f>
        <v>Y</v>
      </c>
      <c r="E121" s="100" t="str">
        <f>IF('data input for RPA'!D127="","",'data input for RPA'!D127)</f>
        <v>Y</v>
      </c>
      <c r="F121" s="396">
        <f>IF('data input for RPA'!E127="","",'data input for RPA'!E127)</f>
        <v>0.005</v>
      </c>
      <c r="G121" s="396">
        <f>IF('data input for RPA'!F127="","",'data input for RPA'!F127)</f>
      </c>
      <c r="H121" s="9" t="str">
        <f t="shared" si="17"/>
        <v>All ND, MDL&lt;C, MEC=MDL</v>
      </c>
      <c r="I121" s="101">
        <f t="shared" si="18"/>
        <v>0.005</v>
      </c>
      <c r="J121" s="101" t="str">
        <f t="shared" si="19"/>
        <v>MEC&lt;C, go to Step 5</v>
      </c>
      <c r="K121" s="448"/>
      <c r="L121" s="417" t="str">
        <f>IF('data input for RPA'!I127="","",'data input for RPA'!I127)</f>
        <v>Y</v>
      </c>
      <c r="M121" s="417" t="str">
        <f>IF('data input for RPA'!J127="","",'data input for RPA'!J127)</f>
        <v>Y</v>
      </c>
      <c r="N121" s="434">
        <f>IF('data input for RPA'!K127="","",'data input for RPA'!K127)</f>
        <v>0.005</v>
      </c>
      <c r="O121" s="435">
        <f>IF('data input for RPA'!L127="","",'data input for RPA'!L127)</f>
      </c>
      <c r="P121" s="431" t="str">
        <f t="shared" si="20"/>
        <v>N</v>
      </c>
      <c r="Q121" s="468" t="str">
        <f t="shared" si="21"/>
        <v>No detected value of B, Step 7</v>
      </c>
      <c r="R121" s="417">
        <f>'data input for RPA'!O127</f>
      </c>
      <c r="S121" s="407" t="str">
        <f t="shared" si="16"/>
        <v>No</v>
      </c>
      <c r="T121" s="465" t="str">
        <f t="shared" si="22"/>
        <v>No</v>
      </c>
      <c r="U121" s="105" t="str">
        <f t="shared" si="24"/>
        <v>MEC&lt;C &amp; B is ND</v>
      </c>
      <c r="V121" s="452" t="str">
        <f t="shared" si="23"/>
        <v>MEC&lt;C &amp; B is ND</v>
      </c>
    </row>
    <row r="122" spans="1:22" ht="15">
      <c r="A122" s="6">
        <v>117</v>
      </c>
      <c r="B122" s="7" t="s">
        <v>130</v>
      </c>
      <c r="C122" s="261">
        <f>Criteria!C128</f>
        <v>0.00021</v>
      </c>
      <c r="D122" s="100" t="str">
        <f>'data input for RPA'!C128</f>
        <v>Y</v>
      </c>
      <c r="E122" s="100" t="str">
        <f>IF('data input for RPA'!D128="","",'data input for RPA'!D128)</f>
        <v>Y</v>
      </c>
      <c r="F122" s="396">
        <f>IF('data input for RPA'!E128="","",'data input for RPA'!E128)</f>
        <v>0.005</v>
      </c>
      <c r="G122" s="396">
        <f>IF('data input for RPA'!F128="","",'data input for RPA'!F128)</f>
      </c>
      <c r="H122" s="9" t="str">
        <f t="shared" si="17"/>
        <v>All ND, MinDL&gt;C, Go to Step 5, &amp; IM</v>
      </c>
      <c r="I122" s="101">
        <f t="shared" si="18"/>
      </c>
      <c r="J122" s="101">
        <f t="shared" si="19"/>
      </c>
      <c r="K122" s="448"/>
      <c r="L122" s="417" t="str">
        <f>IF('data input for RPA'!I128="","",'data input for RPA'!I128)</f>
        <v>Y</v>
      </c>
      <c r="M122" s="417" t="str">
        <f>IF('data input for RPA'!J128="","",'data input for RPA'!J128)</f>
        <v>Y</v>
      </c>
      <c r="N122" s="434">
        <f>IF('data input for RPA'!K128="","",'data input for RPA'!K128)</f>
        <v>0.005</v>
      </c>
      <c r="O122" s="435">
        <f>IF('data input for RPA'!L128="","",'data input for RPA'!L128)</f>
      </c>
      <c r="P122" s="431" t="str">
        <f t="shared" si="20"/>
        <v>Y</v>
      </c>
      <c r="Q122" s="468" t="str">
        <f t="shared" si="21"/>
        <v>No detected value of B, Step 7</v>
      </c>
      <c r="R122" s="417">
        <f>'data input for RPA'!O128</f>
      </c>
      <c r="S122" s="407" t="str">
        <f t="shared" si="16"/>
        <v>No</v>
      </c>
      <c r="T122" s="465" t="str">
        <f t="shared" si="22"/>
        <v>No</v>
      </c>
      <c r="U122" s="105" t="str">
        <f t="shared" si="24"/>
        <v>Effluent data and B are ND</v>
      </c>
      <c r="V122" s="452" t="str">
        <f t="shared" si="23"/>
        <v>Effluent data and B are ND</v>
      </c>
    </row>
    <row r="123" spans="1:22" ht="15">
      <c r="A123" s="6">
        <v>118</v>
      </c>
      <c r="B123" s="7" t="s">
        <v>131</v>
      </c>
      <c r="C123" s="261">
        <f>Criteria!C129</f>
        <v>0.00011</v>
      </c>
      <c r="D123" s="100" t="str">
        <f>'data input for RPA'!C129</f>
        <v>Y</v>
      </c>
      <c r="E123" s="100" t="str">
        <f>IF('data input for RPA'!D129="","",'data input for RPA'!D129)</f>
        <v>Y</v>
      </c>
      <c r="F123" s="396">
        <f>IF('data input for RPA'!E129="","",'data input for RPA'!E129)</f>
        <v>0.005</v>
      </c>
      <c r="G123" s="396">
        <f>IF('data input for RPA'!F129="","",'data input for RPA'!F129)</f>
      </c>
      <c r="H123" s="9" t="str">
        <f t="shared" si="17"/>
        <v>All ND, MinDL&gt;C, Go to Step 5, &amp; IM</v>
      </c>
      <c r="I123" s="101">
        <f t="shared" si="18"/>
      </c>
      <c r="J123" s="101">
        <f t="shared" si="19"/>
      </c>
      <c r="K123" s="448"/>
      <c r="L123" s="417" t="str">
        <f>IF('data input for RPA'!I129="","",'data input for RPA'!I129)</f>
        <v>Y</v>
      </c>
      <c r="M123" s="417" t="str">
        <f>IF('data input for RPA'!J129="","",'data input for RPA'!J129)</f>
        <v>Y</v>
      </c>
      <c r="N123" s="434">
        <f>IF('data input for RPA'!K129="","",'data input for RPA'!K129)</f>
        <v>0.005</v>
      </c>
      <c r="O123" s="435">
        <f>IF('data input for RPA'!L129="","",'data input for RPA'!L129)</f>
      </c>
      <c r="P123" s="431" t="str">
        <f t="shared" si="20"/>
        <v>Y</v>
      </c>
      <c r="Q123" s="468" t="str">
        <f t="shared" si="21"/>
        <v>No detected value of B, Step 7</v>
      </c>
      <c r="R123" s="417">
        <f>'data input for RPA'!O129</f>
      </c>
      <c r="S123" s="407" t="str">
        <f t="shared" si="16"/>
        <v>No</v>
      </c>
      <c r="T123" s="465" t="str">
        <f t="shared" si="22"/>
        <v>No</v>
      </c>
      <c r="U123" s="105" t="str">
        <f t="shared" si="24"/>
        <v>Effluent data and B are ND</v>
      </c>
      <c r="V123" s="452" t="str">
        <f t="shared" si="23"/>
        <v>Effluent data and B are ND</v>
      </c>
    </row>
    <row r="124" spans="1:22" ht="15">
      <c r="A124" s="107" t="s">
        <v>229</v>
      </c>
      <c r="B124" s="95" t="s">
        <v>230</v>
      </c>
      <c r="C124" s="261">
        <f>Criteria!C130</f>
        <v>0.00017</v>
      </c>
      <c r="D124" s="100" t="str">
        <f>'data input for RPA'!C130</f>
        <v>Y</v>
      </c>
      <c r="E124" s="100" t="str">
        <f>IF('data input for RPA'!D130="","",'data input for RPA'!D130)</f>
        <v>Y</v>
      </c>
      <c r="F124" s="396">
        <f>IF('data input for RPA'!E130="","",'data input for RPA'!E130)</f>
        <v>0.1</v>
      </c>
      <c r="G124" s="396">
        <f>IF('data input for RPA'!F130="","",'data input for RPA'!F130)</f>
      </c>
      <c r="H124" s="9" t="str">
        <f t="shared" si="17"/>
        <v>All ND, MinDL&gt;C, Go to Step 5, &amp; IM</v>
      </c>
      <c r="I124" s="101">
        <f t="shared" si="18"/>
      </c>
      <c r="J124" s="101">
        <f t="shared" si="19"/>
      </c>
      <c r="K124" s="448"/>
      <c r="L124" s="417" t="str">
        <f>IF('data input for RPA'!I130="","",'data input for RPA'!I130)</f>
        <v>Y</v>
      </c>
      <c r="M124" s="417" t="str">
        <f>IF('data input for RPA'!J130="","",'data input for RPA'!J130)</f>
        <v>Y</v>
      </c>
      <c r="N124" s="434">
        <f>IF('data input for RPA'!K130="","",'data input for RPA'!K130)</f>
        <v>0.1</v>
      </c>
      <c r="O124" s="435">
        <f>IF('data input for RPA'!L130="","",'data input for RPA'!L130)</f>
      </c>
      <c r="P124" s="431" t="str">
        <f t="shared" si="20"/>
        <v>Y</v>
      </c>
      <c r="Q124" s="468" t="str">
        <f t="shared" si="21"/>
        <v>No detected value of B, Step 7</v>
      </c>
      <c r="R124" s="417">
        <f>'data input for RPA'!O130</f>
      </c>
      <c r="S124" s="407" t="str">
        <f t="shared" si="16"/>
        <v>No</v>
      </c>
      <c r="T124" s="465" t="str">
        <f t="shared" si="22"/>
        <v>No</v>
      </c>
      <c r="U124" s="105" t="str">
        <f t="shared" si="24"/>
        <v>Effluent data and B are ND</v>
      </c>
      <c r="V124" s="452" t="str">
        <f t="shared" si="23"/>
        <v>Effluent data and B are ND</v>
      </c>
    </row>
    <row r="125" spans="1:22" ht="15">
      <c r="A125" s="108">
        <v>126</v>
      </c>
      <c r="B125" s="109" t="s">
        <v>132</v>
      </c>
      <c r="C125" s="261">
        <f>Criteria!C131</f>
        <v>0.0002</v>
      </c>
      <c r="D125" s="100" t="str">
        <f>'data input for RPA'!C131</f>
        <v>Y</v>
      </c>
      <c r="E125" s="100" t="str">
        <f>IF('data input for RPA'!D131="","",'data input for RPA'!D131)</f>
        <v>Y</v>
      </c>
      <c r="F125" s="396">
        <f>IF('data input for RPA'!E131="","",'data input for RPA'!E131)</f>
        <v>0.1</v>
      </c>
      <c r="G125" s="396">
        <f>IF('data input for RPA'!F131="","",'data input for RPA'!F131)</f>
      </c>
      <c r="H125" s="9" t="str">
        <f t="shared" si="17"/>
        <v>All ND, MinDL&gt;C, Go to Step 5, &amp; IM</v>
      </c>
      <c r="I125" s="101">
        <f t="shared" si="18"/>
      </c>
      <c r="J125" s="101">
        <f t="shared" si="19"/>
      </c>
      <c r="K125" s="448"/>
      <c r="L125" s="417" t="str">
        <f>IF('data input for RPA'!I131="","",'data input for RPA'!I131)</f>
        <v>Y</v>
      </c>
      <c r="M125" s="417" t="str">
        <f>IF('data input for RPA'!J131="","",'data input for RPA'!J131)</f>
        <v>Y</v>
      </c>
      <c r="N125" s="434">
        <f>IF('data input for RPA'!K131="","",'data input for RPA'!K131)</f>
        <v>0.1</v>
      </c>
      <c r="O125" s="435">
        <f>IF('data input for RPA'!L131="","",'data input for RPA'!L131)</f>
      </c>
      <c r="P125" s="431" t="str">
        <f t="shared" si="20"/>
        <v>Y</v>
      </c>
      <c r="Q125" s="468" t="str">
        <f t="shared" si="21"/>
        <v>No detected value of B, Step 7</v>
      </c>
      <c r="R125" s="417">
        <f>'data input for RPA'!O131</f>
      </c>
      <c r="S125" s="407" t="str">
        <f t="shared" si="16"/>
        <v>No</v>
      </c>
      <c r="T125" s="465" t="str">
        <f t="shared" si="22"/>
        <v>No</v>
      </c>
      <c r="U125" s="105" t="str">
        <f t="shared" si="24"/>
        <v>Effluent data and B are ND</v>
      </c>
      <c r="V125" s="452" t="str">
        <f t="shared" si="23"/>
        <v>Effluent data and B are ND</v>
      </c>
    </row>
    <row r="126" spans="1:22" ht="15">
      <c r="A126" s="108"/>
      <c r="B126" s="109" t="s">
        <v>254</v>
      </c>
      <c r="C126" s="261">
        <f>Criteria!C132</f>
        <v>0.01</v>
      </c>
      <c r="D126" s="100" t="str">
        <f>'data input for RPA'!C132</f>
        <v>N</v>
      </c>
      <c r="E126" s="100">
        <f>IF('data input for RPA'!D132="","",'data input for RPA'!D132)</f>
      </c>
      <c r="F126" s="396">
        <f>IF('data input for RPA'!E132="","",'data input for RPA'!E132)</f>
      </c>
      <c r="G126" s="396">
        <f>IF('data input for RPA'!F132="","",'data input for RPA'!F132)</f>
      </c>
      <c r="H126" s="9" t="str">
        <f t="shared" si="17"/>
        <v>No effluent data</v>
      </c>
      <c r="I126" s="101">
        <f t="shared" si="18"/>
      </c>
      <c r="J126" s="101">
        <f t="shared" si="19"/>
      </c>
      <c r="K126" s="448"/>
      <c r="L126" s="417" t="str">
        <f>IF('data input for RPA'!I132="","",'data input for RPA'!I132)</f>
        <v>N</v>
      </c>
      <c r="M126" s="417">
        <f>IF('data input for RPA'!J132="","",'data input for RPA'!J132)</f>
      </c>
      <c r="N126" s="434">
        <f>IF('data input for RPA'!K132="","",'data input for RPA'!K132)</f>
      </c>
      <c r="O126" s="435">
        <f>IF('data input for RPA'!L132="","",'data input for RPA'!L132)</f>
      </c>
      <c r="P126" s="431">
        <f t="shared" si="20"/>
      </c>
      <c r="Q126" s="468" t="str">
        <f t="shared" si="21"/>
        <v>No detected value of B, Step 7</v>
      </c>
      <c r="R126" s="417">
        <f>'data input for RPA'!O132</f>
      </c>
      <c r="S126" s="407" t="str">
        <f t="shared" si="16"/>
        <v>Ud</v>
      </c>
      <c r="T126" s="465" t="str">
        <f t="shared" si="22"/>
        <v>Ud</v>
      </c>
      <c r="U126" s="105" t="str">
        <f t="shared" si="24"/>
        <v>No effluent data &amp; no B</v>
      </c>
      <c r="V126" s="452" t="str">
        <f t="shared" si="23"/>
        <v>No effluent data &amp; no B</v>
      </c>
    </row>
    <row r="127" spans="1:22" ht="15">
      <c r="A127" s="108"/>
      <c r="B127" s="109" t="s">
        <v>293</v>
      </c>
      <c r="C127" s="261">
        <f>Criteria!C133</f>
        <v>15</v>
      </c>
      <c r="D127" s="100" t="str">
        <f>'data input for RPA'!C133</f>
        <v>N</v>
      </c>
      <c r="E127" s="100">
        <f>IF('data input for RPA'!D133="","",'data input for RPA'!D133)</f>
      </c>
      <c r="F127" s="396">
        <f>IF('data input for RPA'!E133="","",'data input for RPA'!E133)</f>
      </c>
      <c r="G127" s="396">
        <f>IF('data input for RPA'!F133="","",'data input for RPA'!F133)</f>
      </c>
      <c r="H127" s="9" t="str">
        <f t="shared" si="17"/>
        <v>No effluent data</v>
      </c>
      <c r="I127" s="101">
        <f t="shared" si="18"/>
      </c>
      <c r="J127" s="101">
        <f t="shared" si="19"/>
      </c>
      <c r="K127" s="448"/>
      <c r="L127" s="417" t="str">
        <f>IF('data input for RPA'!I133="","",'data input for RPA'!I133)</f>
        <v>N</v>
      </c>
      <c r="M127" s="417">
        <f>IF('data input for RPA'!J133="","",'data input for RPA'!J133)</f>
      </c>
      <c r="N127" s="434">
        <f>IF('data input for RPA'!K133="","",'data input for RPA'!K133)</f>
      </c>
      <c r="O127" s="435">
        <f>IF('data input for RPA'!L133="","",'data input for RPA'!L133)</f>
      </c>
      <c r="P127" s="431">
        <f t="shared" si="20"/>
      </c>
      <c r="Q127" s="468" t="str">
        <f t="shared" si="21"/>
        <v>No detected value of B, Step 7</v>
      </c>
      <c r="R127" s="417"/>
      <c r="S127" s="407" t="str">
        <f t="shared" si="16"/>
        <v>Ud</v>
      </c>
      <c r="T127" s="465" t="str">
        <f t="shared" si="22"/>
        <v>Ud</v>
      </c>
      <c r="U127" s="105" t="str">
        <f t="shared" si="24"/>
        <v>No effluent data &amp; no B</v>
      </c>
      <c r="V127" s="452" t="str">
        <f t="shared" si="23"/>
        <v>No effluent data &amp; no B</v>
      </c>
    </row>
    <row r="128" spans="1:21" ht="15">
      <c r="A128" s="16"/>
      <c r="B128" s="17" t="s">
        <v>133</v>
      </c>
      <c r="C128" s="262"/>
      <c r="D128" s="18"/>
      <c r="E128" s="18"/>
      <c r="F128" s="397"/>
      <c r="G128" s="397"/>
      <c r="H128" s="18"/>
      <c r="I128" s="96"/>
      <c r="J128" s="18"/>
      <c r="K128" s="18"/>
      <c r="L128" s="420"/>
      <c r="M128" s="420"/>
      <c r="N128" s="408"/>
      <c r="O128" s="438"/>
      <c r="P128" s="18"/>
      <c r="R128" s="420"/>
      <c r="S128" s="408"/>
      <c r="T128" s="409"/>
      <c r="U128" s="409"/>
    </row>
    <row r="129" spans="2:21" ht="15">
      <c r="B129" s="19" t="s">
        <v>144</v>
      </c>
      <c r="C129" s="262"/>
      <c r="D129" s="20"/>
      <c r="E129" s="20"/>
      <c r="H129" s="20"/>
      <c r="I129" s="97"/>
      <c r="J129" s="20"/>
      <c r="K129" s="20"/>
      <c r="L129" s="421"/>
      <c r="M129" s="421"/>
      <c r="N129" s="439"/>
      <c r="O129" s="440"/>
      <c r="P129" s="20"/>
      <c r="R129" s="421"/>
      <c r="S129" s="408"/>
      <c r="T129" s="409"/>
      <c r="U129" s="409"/>
    </row>
    <row r="130" spans="2:21" ht="15">
      <c r="B130" s="22" t="s">
        <v>296</v>
      </c>
      <c r="C130" s="262"/>
      <c r="D130" s="21" t="s">
        <v>282</v>
      </c>
      <c r="E130" s="21"/>
      <c r="H130" s="21"/>
      <c r="I130" s="19"/>
      <c r="J130" s="21"/>
      <c r="K130" s="21"/>
      <c r="L130" s="422"/>
      <c r="M130" s="422"/>
      <c r="N130" s="441"/>
      <c r="O130" s="442"/>
      <c r="P130" s="21"/>
      <c r="Q130" s="429"/>
      <c r="R130" s="422"/>
      <c r="S130" s="410"/>
      <c r="T130" s="411"/>
      <c r="U130" s="411"/>
    </row>
    <row r="131" spans="2:21" ht="15">
      <c r="B131" s="22"/>
      <c r="C131" s="262"/>
      <c r="D131" s="21" t="s">
        <v>134</v>
      </c>
      <c r="E131" s="21"/>
      <c r="H131" s="21"/>
      <c r="I131" s="19"/>
      <c r="J131" s="21"/>
      <c r="K131" s="21"/>
      <c r="L131" s="422"/>
      <c r="M131" s="422"/>
      <c r="N131" s="441"/>
      <c r="O131" s="442"/>
      <c r="P131" s="21"/>
      <c r="Q131" s="429"/>
      <c r="R131" s="422"/>
      <c r="S131" s="410"/>
      <c r="T131" s="411"/>
      <c r="U131" s="411"/>
    </row>
    <row r="132" spans="2:21" ht="15">
      <c r="B132" s="21"/>
      <c r="C132" s="262"/>
      <c r="D132" s="21"/>
      <c r="E132" s="21"/>
      <c r="H132" s="21"/>
      <c r="I132" s="19"/>
      <c r="J132" s="21"/>
      <c r="K132" s="21"/>
      <c r="L132" s="422"/>
      <c r="M132" s="422"/>
      <c r="N132" s="441"/>
      <c r="O132" s="442"/>
      <c r="P132" s="21"/>
      <c r="Q132" s="429"/>
      <c r="R132" s="422"/>
      <c r="S132" s="410"/>
      <c r="T132" s="411"/>
      <c r="U132" s="411"/>
    </row>
    <row r="133" spans="2:21" ht="15">
      <c r="B133" s="21"/>
      <c r="C133" s="262"/>
      <c r="D133" s="21"/>
      <c r="E133" s="21"/>
      <c r="H133" s="21"/>
      <c r="I133" s="19"/>
      <c r="J133" s="21"/>
      <c r="K133" s="21"/>
      <c r="L133" s="422"/>
      <c r="M133" s="422"/>
      <c r="N133" s="441"/>
      <c r="O133" s="442"/>
      <c r="P133" s="21"/>
      <c r="Q133" s="429"/>
      <c r="R133" s="422"/>
      <c r="S133" s="410"/>
      <c r="T133" s="411"/>
      <c r="U133" s="411"/>
    </row>
    <row r="134" spans="3:21" ht="15">
      <c r="C134" s="262"/>
      <c r="D134" s="20"/>
      <c r="E134" s="20"/>
      <c r="H134" s="20"/>
      <c r="I134" s="97"/>
      <c r="J134" s="20"/>
      <c r="K134" s="20"/>
      <c r="L134" s="421"/>
      <c r="M134" s="421"/>
      <c r="N134" s="439"/>
      <c r="O134" s="440"/>
      <c r="P134" s="20"/>
      <c r="R134" s="421"/>
      <c r="S134" s="408"/>
      <c r="T134" s="409"/>
      <c r="U134" s="409"/>
    </row>
    <row r="135" spans="3:21" ht="15">
      <c r="C135" s="262"/>
      <c r="D135" s="20"/>
      <c r="E135" s="20"/>
      <c r="H135" s="20"/>
      <c r="I135" s="97"/>
      <c r="J135" s="20"/>
      <c r="K135" s="20"/>
      <c r="L135" s="421"/>
      <c r="M135" s="421"/>
      <c r="N135" s="439"/>
      <c r="O135" s="440"/>
      <c r="P135" s="20"/>
      <c r="R135" s="421"/>
      <c r="S135" s="408"/>
      <c r="T135" s="409"/>
      <c r="U135" s="409"/>
    </row>
    <row r="136" spans="3:21" ht="15">
      <c r="C136" s="263"/>
      <c r="D136" s="23"/>
      <c r="E136" s="23"/>
      <c r="F136" s="399"/>
      <c r="G136" s="399"/>
      <c r="H136" s="23"/>
      <c r="I136" s="98"/>
      <c r="J136" s="23"/>
      <c r="K136" s="23"/>
      <c r="L136" s="423"/>
      <c r="M136" s="423"/>
      <c r="N136" s="443"/>
      <c r="O136" s="444"/>
      <c r="P136" s="23"/>
      <c r="Q136" s="430"/>
      <c r="R136" s="423"/>
      <c r="S136" s="412"/>
      <c r="T136" s="94"/>
      <c r="U136" s="94"/>
    </row>
    <row r="137" spans="3:21" ht="15">
      <c r="C137" s="262"/>
      <c r="D137" s="20"/>
      <c r="E137" s="20"/>
      <c r="H137" s="20"/>
      <c r="I137" s="97"/>
      <c r="J137" s="20"/>
      <c r="K137" s="20"/>
      <c r="L137" s="421"/>
      <c r="M137" s="421"/>
      <c r="N137" s="439"/>
      <c r="O137" s="440"/>
      <c r="P137" s="20"/>
      <c r="R137" s="421"/>
      <c r="S137" s="408"/>
      <c r="T137" s="409"/>
      <c r="U137" s="409"/>
    </row>
    <row r="138" spans="3:21" ht="15">
      <c r="C138" s="262"/>
      <c r="D138" s="20"/>
      <c r="E138" s="20"/>
      <c r="H138" s="20"/>
      <c r="I138" s="97"/>
      <c r="J138" s="20"/>
      <c r="K138" s="20"/>
      <c r="L138" s="421"/>
      <c r="M138" s="421"/>
      <c r="N138" s="439"/>
      <c r="O138" s="440"/>
      <c r="P138" s="20"/>
      <c r="R138" s="421"/>
      <c r="S138" s="408"/>
      <c r="T138" s="409"/>
      <c r="U138" s="409"/>
    </row>
    <row r="139" spans="3:21" ht="15">
      <c r="C139" s="262"/>
      <c r="D139" s="20"/>
      <c r="E139" s="20"/>
      <c r="H139" s="20"/>
      <c r="I139" s="97"/>
      <c r="J139" s="20"/>
      <c r="K139" s="20"/>
      <c r="L139" s="421"/>
      <c r="M139" s="421"/>
      <c r="N139" s="439"/>
      <c r="O139" s="440"/>
      <c r="P139" s="20"/>
      <c r="R139" s="421"/>
      <c r="S139" s="408"/>
      <c r="T139" s="409"/>
      <c r="U139" s="409"/>
    </row>
    <row r="140" spans="3:21" ht="15">
      <c r="C140" s="262"/>
      <c r="D140" s="20"/>
      <c r="E140" s="20"/>
      <c r="H140" s="20"/>
      <c r="I140" s="97"/>
      <c r="J140" s="20"/>
      <c r="K140" s="20"/>
      <c r="L140" s="421"/>
      <c r="M140" s="421"/>
      <c r="N140" s="439"/>
      <c r="O140" s="440"/>
      <c r="P140" s="20"/>
      <c r="R140" s="421"/>
      <c r="S140" s="408"/>
      <c r="T140" s="409"/>
      <c r="U140" s="409"/>
    </row>
    <row r="141" spans="3:21" ht="15">
      <c r="C141" s="262"/>
      <c r="D141" s="20"/>
      <c r="E141" s="20"/>
      <c r="H141" s="20"/>
      <c r="I141" s="97"/>
      <c r="J141" s="20"/>
      <c r="K141" s="20"/>
      <c r="L141" s="421"/>
      <c r="M141" s="421"/>
      <c r="N141" s="439"/>
      <c r="O141" s="440"/>
      <c r="P141" s="20"/>
      <c r="R141" s="421"/>
      <c r="S141" s="408"/>
      <c r="T141" s="409"/>
      <c r="U141" s="409"/>
    </row>
    <row r="142" spans="3:21" ht="15">
      <c r="C142" s="262"/>
      <c r="D142" s="20"/>
      <c r="E142" s="20"/>
      <c r="H142" s="20"/>
      <c r="I142" s="97"/>
      <c r="J142" s="20"/>
      <c r="K142" s="20"/>
      <c r="L142" s="421"/>
      <c r="M142" s="421"/>
      <c r="N142" s="439"/>
      <c r="O142" s="440"/>
      <c r="P142" s="20"/>
      <c r="R142" s="421"/>
      <c r="S142" s="408"/>
      <c r="T142" s="409"/>
      <c r="U142" s="409"/>
    </row>
    <row r="143" spans="3:21" ht="15">
      <c r="C143" s="262"/>
      <c r="D143" s="20"/>
      <c r="E143" s="20"/>
      <c r="H143" s="20"/>
      <c r="I143" s="97"/>
      <c r="J143" s="20"/>
      <c r="K143" s="20"/>
      <c r="L143" s="421"/>
      <c r="M143" s="421"/>
      <c r="N143" s="439"/>
      <c r="O143" s="440"/>
      <c r="P143" s="20"/>
      <c r="R143" s="421"/>
      <c r="S143" s="408"/>
      <c r="T143" s="409"/>
      <c r="U143" s="409"/>
    </row>
    <row r="144" spans="3:21" ht="15">
      <c r="C144" s="262"/>
      <c r="D144" s="20"/>
      <c r="E144" s="20"/>
      <c r="H144" s="20"/>
      <c r="I144" s="97"/>
      <c r="J144" s="20"/>
      <c r="K144" s="20"/>
      <c r="L144" s="421"/>
      <c r="M144" s="421"/>
      <c r="N144" s="439"/>
      <c r="O144" s="440"/>
      <c r="P144" s="20"/>
      <c r="R144" s="421"/>
      <c r="S144" s="408"/>
      <c r="T144" s="409"/>
      <c r="U144" s="409"/>
    </row>
    <row r="145" spans="3:21" ht="15">
      <c r="C145" s="262"/>
      <c r="D145" s="20"/>
      <c r="E145" s="20"/>
      <c r="H145" s="20"/>
      <c r="I145" s="97"/>
      <c r="J145" s="20"/>
      <c r="K145" s="20"/>
      <c r="L145" s="421"/>
      <c r="M145" s="421"/>
      <c r="N145" s="439"/>
      <c r="O145" s="440"/>
      <c r="P145" s="20"/>
      <c r="R145" s="421"/>
      <c r="S145" s="408"/>
      <c r="T145" s="409"/>
      <c r="U145" s="409"/>
    </row>
    <row r="146" spans="3:21" ht="15">
      <c r="C146" s="262"/>
      <c r="D146" s="20"/>
      <c r="E146" s="20"/>
      <c r="H146" s="20"/>
      <c r="I146" s="97"/>
      <c r="J146" s="20"/>
      <c r="K146" s="20"/>
      <c r="L146" s="421"/>
      <c r="M146" s="421"/>
      <c r="N146" s="439"/>
      <c r="O146" s="440"/>
      <c r="P146" s="20"/>
      <c r="R146" s="421"/>
      <c r="S146" s="408"/>
      <c r="T146" s="409"/>
      <c r="U146" s="409"/>
    </row>
    <row r="147" spans="3:21" ht="15">
      <c r="C147" s="262"/>
      <c r="D147" s="20"/>
      <c r="E147" s="20"/>
      <c r="H147" s="20"/>
      <c r="I147" s="97"/>
      <c r="J147" s="20"/>
      <c r="K147" s="20"/>
      <c r="L147" s="421"/>
      <c r="M147" s="421"/>
      <c r="N147" s="439"/>
      <c r="O147" s="440"/>
      <c r="P147" s="20"/>
      <c r="R147" s="421"/>
      <c r="S147" s="408"/>
      <c r="T147" s="409"/>
      <c r="U147" s="409"/>
    </row>
    <row r="148" spans="3:21" ht="15">
      <c r="C148" s="262"/>
      <c r="D148" s="20"/>
      <c r="E148" s="20"/>
      <c r="H148" s="20"/>
      <c r="I148" s="97"/>
      <c r="J148" s="20"/>
      <c r="K148" s="20"/>
      <c r="L148" s="421"/>
      <c r="M148" s="421"/>
      <c r="N148" s="439"/>
      <c r="O148" s="440"/>
      <c r="P148" s="20"/>
      <c r="R148" s="421"/>
      <c r="S148" s="408"/>
      <c r="T148" s="409"/>
      <c r="U148" s="409"/>
    </row>
    <row r="149" spans="3:21" ht="15">
      <c r="C149" s="262"/>
      <c r="D149" s="20"/>
      <c r="E149" s="20"/>
      <c r="H149" s="20"/>
      <c r="I149" s="97"/>
      <c r="J149" s="20"/>
      <c r="K149" s="20"/>
      <c r="L149" s="421"/>
      <c r="M149" s="421"/>
      <c r="N149" s="439"/>
      <c r="O149" s="440"/>
      <c r="P149" s="20"/>
      <c r="R149" s="421"/>
      <c r="S149" s="408"/>
      <c r="T149" s="409"/>
      <c r="U149" s="409"/>
    </row>
    <row r="150" spans="3:21" ht="15">
      <c r="C150" s="262"/>
      <c r="D150" s="20"/>
      <c r="E150" s="20"/>
      <c r="H150" s="20"/>
      <c r="I150" s="97"/>
      <c r="J150" s="20"/>
      <c r="K150" s="20"/>
      <c r="L150" s="421"/>
      <c r="M150" s="421"/>
      <c r="N150" s="439"/>
      <c r="O150" s="440"/>
      <c r="P150" s="20"/>
      <c r="R150" s="421"/>
      <c r="S150" s="408"/>
      <c r="T150" s="409"/>
      <c r="U150" s="409"/>
    </row>
    <row r="151" spans="3:21" ht="15">
      <c r="C151" s="262"/>
      <c r="D151" s="20"/>
      <c r="E151" s="20"/>
      <c r="H151" s="20"/>
      <c r="I151" s="97"/>
      <c r="J151" s="20"/>
      <c r="K151" s="20"/>
      <c r="L151" s="421"/>
      <c r="M151" s="421"/>
      <c r="N151" s="439"/>
      <c r="O151" s="440"/>
      <c r="P151" s="20"/>
      <c r="R151" s="421"/>
      <c r="S151" s="408"/>
      <c r="T151" s="409"/>
      <c r="U151" s="409"/>
    </row>
    <row r="152" spans="3:21" ht="15">
      <c r="C152" s="244"/>
      <c r="S152" s="413"/>
      <c r="U152" s="414"/>
    </row>
    <row r="153" spans="3:21" ht="15">
      <c r="C153" s="244"/>
      <c r="S153" s="413"/>
      <c r="U153" s="414"/>
    </row>
    <row r="154" spans="3:21" ht="15">
      <c r="C154" s="244"/>
      <c r="S154" s="413"/>
      <c r="U154" s="414"/>
    </row>
    <row r="155" spans="3:21" ht="15">
      <c r="C155" s="244"/>
      <c r="S155" s="413"/>
      <c r="U155" s="414"/>
    </row>
    <row r="156" spans="3:21" ht="15">
      <c r="C156" s="244"/>
      <c r="S156" s="413"/>
      <c r="U156" s="414"/>
    </row>
    <row r="157" spans="3:21" ht="15">
      <c r="C157" s="244"/>
      <c r="S157" s="413"/>
      <c r="U157" s="414"/>
    </row>
    <row r="158" spans="3:21" ht="15">
      <c r="C158" s="244"/>
      <c r="S158" s="413"/>
      <c r="U158" s="414"/>
    </row>
    <row r="159" spans="3:21" ht="15">
      <c r="C159" s="244"/>
      <c r="S159" s="413"/>
      <c r="U159" s="414"/>
    </row>
    <row r="160" spans="3:21" ht="15">
      <c r="C160" s="244"/>
      <c r="S160" s="413"/>
      <c r="U160" s="414"/>
    </row>
    <row r="161" spans="3:21" ht="15">
      <c r="C161" s="244"/>
      <c r="S161" s="413"/>
      <c r="U161" s="414"/>
    </row>
    <row r="162" spans="3:21" ht="15">
      <c r="C162" s="244"/>
      <c r="S162" s="413"/>
      <c r="U162" s="414"/>
    </row>
    <row r="163" spans="3:21" ht="15">
      <c r="C163" s="244"/>
      <c r="S163" s="413"/>
      <c r="U163" s="414"/>
    </row>
    <row r="164" spans="3:21" ht="15">
      <c r="C164" s="244"/>
      <c r="S164" s="413"/>
      <c r="U164" s="414"/>
    </row>
    <row r="165" spans="3:21" ht="15">
      <c r="C165" s="244"/>
      <c r="S165" s="413"/>
      <c r="U165" s="414"/>
    </row>
    <row r="166" spans="3:21" ht="15">
      <c r="C166" s="244"/>
      <c r="S166" s="413"/>
      <c r="U166" s="414"/>
    </row>
    <row r="167" spans="3:21" ht="15">
      <c r="C167" s="244"/>
      <c r="S167" s="413"/>
      <c r="U167" s="414"/>
    </row>
    <row r="168" spans="3:21" ht="15">
      <c r="C168" s="244"/>
      <c r="S168" s="413"/>
      <c r="U168" s="414"/>
    </row>
    <row r="169" spans="3:21" ht="15">
      <c r="C169" s="244"/>
      <c r="S169" s="413"/>
      <c r="U169" s="414"/>
    </row>
    <row r="170" spans="3:21" ht="15">
      <c r="C170" s="244"/>
      <c r="S170" s="413"/>
      <c r="U170" s="414"/>
    </row>
    <row r="171" spans="3:21" ht="15">
      <c r="C171" s="244"/>
      <c r="S171" s="413"/>
      <c r="U171" s="414"/>
    </row>
    <row r="172" spans="3:21" ht="15">
      <c r="C172" s="244"/>
      <c r="S172" s="413"/>
      <c r="U172" s="414"/>
    </row>
    <row r="173" spans="3:21" ht="15">
      <c r="C173" s="244"/>
      <c r="S173" s="413"/>
      <c r="U173" s="414"/>
    </row>
    <row r="174" spans="3:21" ht="15">
      <c r="C174" s="244"/>
      <c r="S174" s="413"/>
      <c r="U174" s="414"/>
    </row>
    <row r="175" spans="3:21" ht="15">
      <c r="C175" s="244"/>
      <c r="S175" s="413"/>
      <c r="U175" s="414"/>
    </row>
    <row r="176" spans="3:21" ht="15">
      <c r="C176" s="244"/>
      <c r="S176" s="413"/>
      <c r="U176" s="414"/>
    </row>
    <row r="177" spans="3:21" ht="15">
      <c r="C177" s="244"/>
      <c r="S177" s="413"/>
      <c r="U177" s="414"/>
    </row>
    <row r="178" spans="3:21" ht="15">
      <c r="C178" s="244"/>
      <c r="S178" s="413"/>
      <c r="U178" s="414"/>
    </row>
    <row r="179" spans="3:21" ht="15">
      <c r="C179" s="244"/>
      <c r="S179" s="413"/>
      <c r="U179" s="414"/>
    </row>
    <row r="180" spans="3:21" ht="15">
      <c r="C180" s="244"/>
      <c r="S180" s="413"/>
      <c r="U180" s="414"/>
    </row>
    <row r="181" spans="3:21" ht="15">
      <c r="C181" s="244"/>
      <c r="S181" s="413"/>
      <c r="U181" s="414"/>
    </row>
    <row r="182" spans="3:21" ht="15">
      <c r="C182" s="244"/>
      <c r="S182" s="413"/>
      <c r="U182" s="414"/>
    </row>
    <row r="183" spans="3:21" ht="15">
      <c r="C183" s="244"/>
      <c r="S183" s="413"/>
      <c r="U183" s="414"/>
    </row>
    <row r="184" spans="3:21" ht="15">
      <c r="C184" s="244"/>
      <c r="S184" s="413"/>
      <c r="U184" s="414"/>
    </row>
    <row r="185" spans="3:21" ht="15">
      <c r="C185" s="244"/>
      <c r="S185" s="413"/>
      <c r="U185" s="414"/>
    </row>
    <row r="186" spans="3:21" ht="15">
      <c r="C186" s="244"/>
      <c r="S186" s="413"/>
      <c r="U186" s="414"/>
    </row>
    <row r="187" spans="3:21" ht="15">
      <c r="C187" s="244"/>
      <c r="S187" s="413"/>
      <c r="U187" s="414"/>
    </row>
    <row r="188" spans="3:21" ht="15">
      <c r="C188" s="244"/>
      <c r="S188" s="413"/>
      <c r="U188" s="414"/>
    </row>
    <row r="189" spans="3:21" ht="15">
      <c r="C189" s="244"/>
      <c r="S189" s="413"/>
      <c r="U189" s="414"/>
    </row>
    <row r="190" spans="3:21" ht="15">
      <c r="C190" s="244"/>
      <c r="S190" s="413"/>
      <c r="U190" s="414"/>
    </row>
    <row r="191" spans="3:21" ht="15">
      <c r="C191" s="244"/>
      <c r="S191" s="413"/>
      <c r="U191" s="414"/>
    </row>
    <row r="192" spans="3:21" ht="15">
      <c r="C192" s="244"/>
      <c r="S192" s="413"/>
      <c r="U192" s="414"/>
    </row>
    <row r="193" spans="3:21" ht="15">
      <c r="C193" s="244"/>
      <c r="S193" s="413"/>
      <c r="U193" s="414"/>
    </row>
    <row r="194" spans="3:21" ht="15">
      <c r="C194" s="244"/>
      <c r="S194" s="413"/>
      <c r="U194" s="414"/>
    </row>
    <row r="195" spans="3:21" ht="15">
      <c r="C195" s="244"/>
      <c r="S195" s="413"/>
      <c r="U195" s="414"/>
    </row>
    <row r="196" spans="3:21" ht="15">
      <c r="C196" s="244"/>
      <c r="S196" s="413"/>
      <c r="U196" s="414"/>
    </row>
    <row r="197" spans="3:21" ht="15">
      <c r="C197" s="244"/>
      <c r="S197" s="413"/>
      <c r="U197" s="414"/>
    </row>
    <row r="198" spans="3:21" ht="15">
      <c r="C198" s="244"/>
      <c r="S198" s="413"/>
      <c r="U198" s="414"/>
    </row>
    <row r="199" spans="3:21" ht="15">
      <c r="C199" s="244"/>
      <c r="S199" s="413"/>
      <c r="U199" s="414"/>
    </row>
    <row r="200" spans="3:21" ht="15">
      <c r="C200" s="244"/>
      <c r="S200" s="413"/>
      <c r="U200" s="414"/>
    </row>
    <row r="201" spans="3:21" ht="15">
      <c r="C201" s="244"/>
      <c r="S201" s="413"/>
      <c r="U201" s="414"/>
    </row>
    <row r="202" spans="3:21" ht="15">
      <c r="C202" s="244"/>
      <c r="S202" s="413"/>
      <c r="U202" s="414"/>
    </row>
    <row r="203" spans="3:21" ht="15">
      <c r="C203" s="244"/>
      <c r="S203" s="413"/>
      <c r="U203" s="414"/>
    </row>
    <row r="204" spans="3:21" ht="15">
      <c r="C204" s="244"/>
      <c r="S204" s="413"/>
      <c r="U204" s="414"/>
    </row>
    <row r="205" spans="3:21" ht="15">
      <c r="C205" s="244"/>
      <c r="S205" s="413"/>
      <c r="U205" s="414"/>
    </row>
    <row r="206" spans="3:21" ht="15">
      <c r="C206" s="244"/>
      <c r="S206" s="413"/>
      <c r="U206" s="414"/>
    </row>
    <row r="207" spans="3:21" ht="15">
      <c r="C207" s="244"/>
      <c r="S207" s="413"/>
      <c r="U207" s="414"/>
    </row>
    <row r="208" spans="3:21" ht="15">
      <c r="C208" s="244"/>
      <c r="S208" s="413"/>
      <c r="U208" s="414"/>
    </row>
    <row r="209" spans="3:21" ht="15">
      <c r="C209" s="244"/>
      <c r="S209" s="413"/>
      <c r="U209" s="414"/>
    </row>
    <row r="210" spans="3:21" ht="15">
      <c r="C210" s="244"/>
      <c r="S210" s="413"/>
      <c r="U210" s="414"/>
    </row>
    <row r="211" spans="3:21" ht="15">
      <c r="C211" s="244"/>
      <c r="S211" s="413"/>
      <c r="U211" s="414"/>
    </row>
    <row r="212" spans="3:21" ht="15">
      <c r="C212" s="244"/>
      <c r="S212" s="413"/>
      <c r="U212" s="414"/>
    </row>
    <row r="213" spans="3:21" ht="15">
      <c r="C213" s="244"/>
      <c r="S213" s="413"/>
      <c r="U213" s="414"/>
    </row>
    <row r="214" spans="3:21" ht="15">
      <c r="C214" s="244"/>
      <c r="S214" s="413"/>
      <c r="U214" s="414"/>
    </row>
    <row r="215" spans="3:21" ht="15">
      <c r="C215" s="244"/>
      <c r="S215" s="413"/>
      <c r="U215" s="414"/>
    </row>
    <row r="216" spans="3:21" ht="15">
      <c r="C216" s="244"/>
      <c r="S216" s="413"/>
      <c r="U216" s="414"/>
    </row>
    <row r="217" spans="3:21" ht="15">
      <c r="C217" s="244"/>
      <c r="S217" s="413"/>
      <c r="U217" s="414"/>
    </row>
    <row r="218" spans="3:21" ht="15">
      <c r="C218" s="244"/>
      <c r="S218" s="413"/>
      <c r="U218" s="414"/>
    </row>
    <row r="219" spans="3:21" ht="15">
      <c r="C219" s="244"/>
      <c r="S219" s="413"/>
      <c r="U219" s="414"/>
    </row>
    <row r="220" spans="3:21" ht="15">
      <c r="C220" s="244"/>
      <c r="S220" s="413"/>
      <c r="U220" s="414"/>
    </row>
    <row r="221" spans="3:21" ht="15">
      <c r="C221" s="244"/>
      <c r="S221" s="413"/>
      <c r="U221" s="414"/>
    </row>
    <row r="222" spans="3:21" ht="15">
      <c r="C222" s="244"/>
      <c r="S222" s="413"/>
      <c r="U222" s="414"/>
    </row>
    <row r="223" spans="3:21" ht="15">
      <c r="C223" s="244"/>
      <c r="S223" s="413"/>
      <c r="U223" s="414"/>
    </row>
    <row r="224" spans="3:21" ht="15">
      <c r="C224" s="244"/>
      <c r="S224" s="413"/>
      <c r="U224" s="414"/>
    </row>
    <row r="225" spans="3:21" ht="15">
      <c r="C225" s="244"/>
      <c r="S225" s="413"/>
      <c r="U225" s="414"/>
    </row>
    <row r="226" spans="3:21" ht="15">
      <c r="C226" s="244"/>
      <c r="S226" s="413"/>
      <c r="U226" s="414"/>
    </row>
    <row r="227" spans="3:21" ht="15">
      <c r="C227" s="244"/>
      <c r="S227" s="413"/>
      <c r="U227" s="414"/>
    </row>
    <row r="228" spans="3:21" ht="15">
      <c r="C228" s="244"/>
      <c r="S228" s="413"/>
      <c r="U228" s="414"/>
    </row>
    <row r="229" spans="3:21" ht="15">
      <c r="C229" s="244"/>
      <c r="S229" s="413"/>
      <c r="U229" s="414"/>
    </row>
    <row r="230" spans="3:21" ht="15">
      <c r="C230" s="244"/>
      <c r="S230" s="413"/>
      <c r="U230" s="414"/>
    </row>
    <row r="231" spans="3:21" ht="15">
      <c r="C231" s="244"/>
      <c r="S231" s="413"/>
      <c r="U231" s="414"/>
    </row>
    <row r="232" spans="3:21" ht="15">
      <c r="C232" s="244"/>
      <c r="S232" s="413"/>
      <c r="U232" s="414"/>
    </row>
    <row r="233" spans="3:21" ht="15">
      <c r="C233" s="244"/>
      <c r="S233" s="413"/>
      <c r="U233" s="414"/>
    </row>
    <row r="234" spans="3:21" ht="15">
      <c r="C234" s="244"/>
      <c r="S234" s="413"/>
      <c r="U234" s="414"/>
    </row>
    <row r="235" spans="3:21" ht="15">
      <c r="C235" s="244"/>
      <c r="S235" s="413"/>
      <c r="U235" s="414"/>
    </row>
    <row r="236" spans="3:21" ht="15">
      <c r="C236" s="244"/>
      <c r="S236" s="413"/>
      <c r="U236" s="414"/>
    </row>
    <row r="237" spans="3:21" ht="15">
      <c r="C237" s="244"/>
      <c r="S237" s="413"/>
      <c r="U237" s="414"/>
    </row>
    <row r="238" spans="3:21" ht="15">
      <c r="C238" s="244"/>
      <c r="S238" s="413"/>
      <c r="U238" s="414"/>
    </row>
    <row r="239" spans="3:21" ht="15">
      <c r="C239" s="244"/>
      <c r="S239" s="413"/>
      <c r="U239" s="414"/>
    </row>
    <row r="240" spans="3:21" ht="15">
      <c r="C240" s="244"/>
      <c r="S240" s="413"/>
      <c r="U240" s="414"/>
    </row>
    <row r="241" spans="3:21" ht="15">
      <c r="C241" s="244"/>
      <c r="S241" s="413"/>
      <c r="U241" s="414"/>
    </row>
    <row r="242" spans="3:21" ht="15">
      <c r="C242" s="244"/>
      <c r="S242" s="413"/>
      <c r="U242" s="414"/>
    </row>
    <row r="243" spans="3:21" ht="15">
      <c r="C243" s="244"/>
      <c r="S243" s="413"/>
      <c r="U243" s="414"/>
    </row>
    <row r="244" spans="3:21" ht="15">
      <c r="C244" s="244"/>
      <c r="S244" s="413"/>
      <c r="U244" s="414"/>
    </row>
    <row r="245" spans="3:21" ht="15">
      <c r="C245" s="244"/>
      <c r="S245" s="413"/>
      <c r="U245" s="414"/>
    </row>
    <row r="246" spans="3:21" ht="15">
      <c r="C246" s="244"/>
      <c r="S246" s="413"/>
      <c r="U246" s="414"/>
    </row>
    <row r="247" spans="3:21" ht="15">
      <c r="C247" s="244"/>
      <c r="S247" s="413"/>
      <c r="U247" s="414"/>
    </row>
    <row r="248" spans="3:21" ht="15">
      <c r="C248" s="244"/>
      <c r="S248" s="413"/>
      <c r="U248" s="414"/>
    </row>
    <row r="249" spans="3:21" ht="15">
      <c r="C249" s="244"/>
      <c r="S249" s="413"/>
      <c r="U249" s="414"/>
    </row>
    <row r="250" spans="3:21" ht="15">
      <c r="C250" s="244"/>
      <c r="S250" s="413"/>
      <c r="U250" s="414"/>
    </row>
    <row r="251" spans="3:21" ht="15">
      <c r="C251" s="244"/>
      <c r="S251" s="413"/>
      <c r="U251" s="414"/>
    </row>
    <row r="252" spans="3:21" ht="15">
      <c r="C252" s="244"/>
      <c r="S252" s="413"/>
      <c r="U252" s="414"/>
    </row>
    <row r="253" spans="3:21" ht="15">
      <c r="C253" s="244"/>
      <c r="S253" s="413"/>
      <c r="U253" s="414"/>
    </row>
    <row r="254" spans="3:21" ht="15">
      <c r="C254" s="244"/>
      <c r="S254" s="413"/>
      <c r="U254" s="414"/>
    </row>
    <row r="255" spans="3:21" ht="15">
      <c r="C255" s="244"/>
      <c r="S255" s="413"/>
      <c r="U255" s="414"/>
    </row>
    <row r="256" spans="3:21" ht="15">
      <c r="C256" s="244"/>
      <c r="S256" s="413"/>
      <c r="U256" s="414"/>
    </row>
    <row r="257" spans="3:21" ht="15">
      <c r="C257" s="244"/>
      <c r="S257" s="413"/>
      <c r="U257" s="414"/>
    </row>
    <row r="258" spans="3:21" ht="15">
      <c r="C258" s="244"/>
      <c r="S258" s="413"/>
      <c r="U258" s="414"/>
    </row>
    <row r="259" spans="3:21" ht="15">
      <c r="C259" s="244"/>
      <c r="S259" s="413"/>
      <c r="U259" s="414"/>
    </row>
    <row r="260" spans="3:21" ht="15">
      <c r="C260" s="244"/>
      <c r="S260" s="413"/>
      <c r="U260" s="414"/>
    </row>
    <row r="261" spans="3:21" ht="15">
      <c r="C261" s="244"/>
      <c r="S261" s="413"/>
      <c r="U261" s="414"/>
    </row>
    <row r="262" spans="3:21" ht="15">
      <c r="C262" s="244"/>
      <c r="S262" s="413"/>
      <c r="U262" s="414"/>
    </row>
    <row r="263" spans="3:21" ht="15">
      <c r="C263" s="244"/>
      <c r="S263" s="413"/>
      <c r="U263" s="414"/>
    </row>
    <row r="264" spans="3:21" ht="15">
      <c r="C264" s="244"/>
      <c r="S264" s="413"/>
      <c r="U264" s="414"/>
    </row>
    <row r="265" spans="3:21" ht="15">
      <c r="C265" s="244"/>
      <c r="S265" s="413"/>
      <c r="U265" s="414"/>
    </row>
    <row r="266" spans="3:21" ht="15">
      <c r="C266" s="244"/>
      <c r="S266" s="413"/>
      <c r="U266" s="414"/>
    </row>
    <row r="267" spans="3:21" ht="15">
      <c r="C267" s="244"/>
      <c r="S267" s="413"/>
      <c r="U267" s="414"/>
    </row>
    <row r="268" spans="3:21" ht="15">
      <c r="C268" s="244"/>
      <c r="S268" s="413"/>
      <c r="U268" s="414"/>
    </row>
    <row r="269" spans="3:21" ht="15">
      <c r="C269" s="244"/>
      <c r="S269" s="413"/>
      <c r="U269" s="414"/>
    </row>
    <row r="270" spans="3:21" ht="15">
      <c r="C270" s="244"/>
      <c r="S270" s="413"/>
      <c r="U270" s="414"/>
    </row>
    <row r="271" spans="3:21" ht="15">
      <c r="C271" s="244"/>
      <c r="S271" s="413"/>
      <c r="U271" s="414"/>
    </row>
    <row r="272" spans="3:21" ht="15">
      <c r="C272" s="244"/>
      <c r="S272" s="413"/>
      <c r="U272" s="414"/>
    </row>
    <row r="273" spans="3:21" ht="15">
      <c r="C273" s="244"/>
      <c r="S273" s="413"/>
      <c r="U273" s="414"/>
    </row>
    <row r="274" spans="3:21" ht="15">
      <c r="C274" s="244"/>
      <c r="S274" s="413"/>
      <c r="U274" s="414"/>
    </row>
    <row r="275" spans="3:21" ht="15">
      <c r="C275" s="244"/>
      <c r="S275" s="413"/>
      <c r="U275" s="414"/>
    </row>
    <row r="276" spans="3:21" ht="15">
      <c r="C276" s="244"/>
      <c r="S276" s="413"/>
      <c r="U276" s="414"/>
    </row>
    <row r="277" ht="15">
      <c r="C277" s="244"/>
    </row>
    <row r="278" ht="15">
      <c r="C278" s="244"/>
    </row>
    <row r="279" ht="15">
      <c r="C279" s="244"/>
    </row>
    <row r="280" ht="15">
      <c r="C280" s="244"/>
    </row>
    <row r="281" ht="15">
      <c r="C281" s="244"/>
    </row>
    <row r="282" ht="15">
      <c r="C282" s="244"/>
    </row>
    <row r="283" ht="15">
      <c r="C283" s="244"/>
    </row>
    <row r="284" ht="15">
      <c r="C284" s="244"/>
    </row>
    <row r="285" ht="15">
      <c r="C285" s="244"/>
    </row>
    <row r="286" ht="15">
      <c r="C286" s="244"/>
    </row>
    <row r="287" ht="15">
      <c r="C287" s="244"/>
    </row>
    <row r="288" ht="15">
      <c r="C288" s="244"/>
    </row>
    <row r="289" ht="15">
      <c r="C289" s="244"/>
    </row>
    <row r="290" ht="15">
      <c r="C290" s="244"/>
    </row>
    <row r="291" ht="15">
      <c r="C291" s="244"/>
    </row>
    <row r="292" ht="15">
      <c r="C292" s="244"/>
    </row>
    <row r="293" ht="15">
      <c r="C293" s="244"/>
    </row>
    <row r="294" ht="15">
      <c r="C294" s="244"/>
    </row>
    <row r="295" ht="15">
      <c r="C295" s="244"/>
    </row>
    <row r="296" ht="15">
      <c r="C296" s="244"/>
    </row>
    <row r="297" ht="15">
      <c r="C297" s="244"/>
    </row>
    <row r="298" ht="15">
      <c r="C298" s="244"/>
    </row>
    <row r="299" ht="15">
      <c r="C299" s="244"/>
    </row>
    <row r="300" ht="15">
      <c r="C300" s="244"/>
    </row>
    <row r="301" ht="15">
      <c r="C301" s="244"/>
    </row>
    <row r="302" ht="15">
      <c r="C302" s="244"/>
    </row>
    <row r="303" ht="15">
      <c r="C303" s="244"/>
    </row>
    <row r="304" ht="15">
      <c r="C304" s="244"/>
    </row>
    <row r="305" ht="15">
      <c r="C305" s="244"/>
    </row>
    <row r="306" ht="15">
      <c r="C306" s="244"/>
    </row>
    <row r="307" ht="15">
      <c r="C307" s="244"/>
    </row>
    <row r="308" ht="15">
      <c r="C308" s="244"/>
    </row>
    <row r="309" ht="15">
      <c r="C309" s="244"/>
    </row>
    <row r="310" ht="15">
      <c r="C310" s="244"/>
    </row>
    <row r="311" ht="15">
      <c r="C311" s="244"/>
    </row>
    <row r="312" ht="15">
      <c r="C312" s="244"/>
    </row>
    <row r="313" ht="15">
      <c r="C313" s="244"/>
    </row>
    <row r="314" ht="15">
      <c r="C314" s="244"/>
    </row>
    <row r="315" ht="15">
      <c r="C315" s="244"/>
    </row>
    <row r="316" ht="15">
      <c r="C316" s="244"/>
    </row>
  </sheetData>
  <mergeCells count="15">
    <mergeCell ref="O2:O3"/>
    <mergeCell ref="A2:A3"/>
    <mergeCell ref="B2:B3"/>
    <mergeCell ref="D2:D3"/>
    <mergeCell ref="E2:E3"/>
    <mergeCell ref="S1:V1"/>
    <mergeCell ref="N1:O1"/>
    <mergeCell ref="F2:F3"/>
    <mergeCell ref="L2:L3"/>
    <mergeCell ref="M2:M3"/>
    <mergeCell ref="N2:N3"/>
    <mergeCell ref="P2:P3"/>
    <mergeCell ref="G2:G3"/>
    <mergeCell ref="H2:H3"/>
    <mergeCell ref="R2:R3"/>
  </mergeCells>
  <conditionalFormatting sqref="S10:S127 T4:T127">
    <cfRule type="cellIs" priority="1" dxfId="0" operator="equal" stopIfTrue="1">
      <formula>"Yes"</formula>
    </cfRule>
  </conditionalFormatting>
  <printOptions horizontalCentered="1"/>
  <pageMargins left="0.25" right="0.25" top="1" bottom="1" header="0.25" footer="0.25"/>
  <pageSetup fitToHeight="2" horizontalDpi="600" verticalDpi="600" orientation="landscape" scale="39" r:id="rId1"/>
  <headerFooter alignWithMargins="0">
    <oddHeader>&amp;C&amp;22Attachment 1
Reasonable Potential Analysis Results&amp;R&amp;22Kobe Precision
Hayward, CA
NPDES Permit</oddHeader>
    <oddFooter>&amp;C&amp;18&amp;P of &amp;N&amp;R&amp;18&amp;F &amp; 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="90" zoomScaleNormal="90" workbookViewId="0" topLeftCell="A1">
      <pane xSplit="1" ySplit="1" topLeftCell="B2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A4" sqref="A4"/>
    </sheetView>
  </sheetViews>
  <sheetFormatPr defaultColWidth="9.140625" defaultRowHeight="12.75"/>
  <cols>
    <col min="1" max="1" width="43.421875" style="11" bestFit="1" customWidth="1"/>
    <col min="2" max="2" width="9.00390625" style="11" customWidth="1"/>
    <col min="3" max="3" width="9.28125" style="0" customWidth="1"/>
  </cols>
  <sheetData>
    <row r="1" spans="1:2" ht="42.75" customHeight="1">
      <c r="A1" s="207" t="s">
        <v>151</v>
      </c>
      <c r="B1" s="194" t="s">
        <v>239</v>
      </c>
    </row>
    <row r="2" spans="1:2" ht="12.75">
      <c r="A2" s="207" t="s">
        <v>290</v>
      </c>
      <c r="B2" s="194" t="s">
        <v>202</v>
      </c>
    </row>
    <row r="3" spans="1:2" ht="12.75">
      <c r="A3" s="209" t="s">
        <v>153</v>
      </c>
      <c r="B3" s="210" t="s">
        <v>280</v>
      </c>
    </row>
    <row r="4" spans="1:2" ht="12.75">
      <c r="A4" s="9" t="s">
        <v>154</v>
      </c>
      <c r="B4" s="212">
        <f>Criteria!C17</f>
        <v>2.853451723055603</v>
      </c>
    </row>
    <row r="5" spans="1:2" ht="12.75">
      <c r="A5" s="106" t="s">
        <v>155</v>
      </c>
      <c r="B5" s="214"/>
    </row>
    <row r="6" spans="1:2" ht="12.75">
      <c r="A6" s="106" t="s">
        <v>156</v>
      </c>
      <c r="B6" s="215">
        <v>0</v>
      </c>
    </row>
    <row r="7" spans="1:2" ht="12.75">
      <c r="A7" s="106" t="s">
        <v>279</v>
      </c>
      <c r="B7" s="215">
        <v>4</v>
      </c>
    </row>
    <row r="8" spans="1:2" ht="12.75">
      <c r="A8" s="106" t="s">
        <v>275</v>
      </c>
      <c r="B8" s="215" t="s">
        <v>23</v>
      </c>
    </row>
    <row r="9" spans="1:2" ht="12.75">
      <c r="A9" s="106" t="s">
        <v>157</v>
      </c>
      <c r="B9" s="215" t="s">
        <v>24</v>
      </c>
    </row>
    <row r="10" spans="1:2" ht="12.75">
      <c r="A10" s="106"/>
      <c r="B10" s="215"/>
    </row>
    <row r="11" spans="1:2" ht="12.75">
      <c r="A11" s="106" t="s">
        <v>158</v>
      </c>
      <c r="B11" s="217">
        <v>3.8</v>
      </c>
    </row>
    <row r="12" spans="1:2" ht="12.75">
      <c r="A12" s="106" t="s">
        <v>159</v>
      </c>
      <c r="B12" s="217">
        <f>B4</f>
        <v>2.853451723055603</v>
      </c>
    </row>
    <row r="13" spans="1:2" ht="12.75">
      <c r="A13" s="106" t="s">
        <v>160</v>
      </c>
      <c r="B13" s="215"/>
    </row>
    <row r="14" spans="1:2" ht="12.75">
      <c r="A14" s="106" t="s">
        <v>276</v>
      </c>
      <c r="B14" s="215">
        <f>'data input for RPA'!L16</f>
        <v>14</v>
      </c>
    </row>
    <row r="15" spans="1:2" s="30" customFormat="1" ht="12.75">
      <c r="A15" s="106" t="s">
        <v>161</v>
      </c>
      <c r="B15" s="215"/>
    </row>
    <row r="16" spans="1:2" ht="12.75">
      <c r="A16" s="106" t="s">
        <v>162</v>
      </c>
      <c r="B16" s="216" t="s">
        <v>24</v>
      </c>
    </row>
    <row r="17" spans="1:2" ht="12.75">
      <c r="A17" s="106"/>
      <c r="B17" s="215"/>
    </row>
    <row r="18" spans="1:3" ht="12.75">
      <c r="A18" s="106" t="s">
        <v>163</v>
      </c>
      <c r="B18" s="214">
        <f>IF(B8="Y",IF(B11="","No Acute WQO",IF(B14="",B11,IF(B11&lt;=B14,B11,IF(B16="Y",B11,IF(B16="N",IF(B6="",B11,B11+B6*(B11-B14)),"Enter Y/N for bioaccumulative"))))),IF(B8="N","","Enter Y/N for 'Aq life criteria reqd?'"))</f>
        <v>3.8</v>
      </c>
      <c r="C18" s="276"/>
    </row>
    <row r="19" spans="1:3" ht="12.75">
      <c r="A19" s="106" t="s">
        <v>164</v>
      </c>
      <c r="B19" s="214">
        <f>IF(B8="Y",IF(B12="","No Chronic WQO",IF(B14="",B12,IF(B12&lt;=B14,B12,IF(B16="Y",B12,IF(B16="N",IF(B6="",B12,B12+B6*(B12-B14)),"Enter Y/N for bioaccumulative"))))),IF(B8="N","","Enter Y/N for 'Aq life criteria reqd?'"))</f>
        <v>2.853451723055603</v>
      </c>
      <c r="C19" s="276"/>
    </row>
    <row r="20" spans="1:3" ht="12.75">
      <c r="A20" s="106" t="s">
        <v>165</v>
      </c>
      <c r="B20" s="221"/>
      <c r="C20" s="276"/>
    </row>
    <row r="21" spans="1:2" ht="12.75">
      <c r="A21" s="106"/>
      <c r="B21" s="215"/>
    </row>
    <row r="22" spans="1:2" ht="25.5">
      <c r="A22" s="209" t="s">
        <v>281</v>
      </c>
      <c r="B22" s="212" t="s">
        <v>23</v>
      </c>
    </row>
    <row r="23" spans="1:2" ht="12.75">
      <c r="A23" s="9" t="s">
        <v>277</v>
      </c>
      <c r="B23" s="213"/>
    </row>
    <row r="24" spans="1:2" ht="12.75">
      <c r="A24" s="9" t="s">
        <v>278</v>
      </c>
      <c r="B24" s="213"/>
    </row>
    <row r="25" spans="1:2" ht="12.75">
      <c r="A25" s="9" t="s">
        <v>166</v>
      </c>
      <c r="B25" s="212" t="str">
        <f>IF(B22="N",IF(B23="","Enter avg of data points",IF(B24="","Enter SD",B24/B23)),IF(B22="Y","N/A","Enter Y/N in Row 23"))</f>
        <v>N/A</v>
      </c>
    </row>
    <row r="26" spans="1:2" ht="12.75">
      <c r="A26" s="9" t="s">
        <v>167</v>
      </c>
      <c r="B26" s="218">
        <f>IF(B22="Y",0.6,B25)</f>
        <v>0.6</v>
      </c>
    </row>
    <row r="27" spans="1:2" ht="12.75">
      <c r="A27" s="9"/>
      <c r="B27" s="216"/>
    </row>
    <row r="28" spans="1:2" ht="12.75">
      <c r="A28" s="106" t="s">
        <v>168</v>
      </c>
      <c r="B28" s="212">
        <f>IF(B8="Y",IF(ISTEXT(B26),"",EXP(0.5*LN((B26^2)+1)-2.326*(LN((B26^2)+1))^0.5)),"")</f>
        <v>0.32108321379047927</v>
      </c>
    </row>
    <row r="29" spans="1:2" ht="12.75">
      <c r="A29" s="106" t="s">
        <v>169</v>
      </c>
      <c r="B29" s="212">
        <f>IF(B8="Y",IF(ISTEXT(B26),"",EXP(0.5*LN(((B26^2)/4)+1)-2.326*(LN(((B26^2)/4)+1))^0.5)),"")</f>
        <v>0.527433444097936</v>
      </c>
    </row>
    <row r="30" spans="1:2" ht="12.75">
      <c r="A30" s="9" t="s">
        <v>170</v>
      </c>
      <c r="B30" s="212">
        <f>IF(B8="Y",IF(ISTEXT(B18),"",IF(B28="","",B18*B28)),"")</f>
        <v>1.2201162124038212</v>
      </c>
    </row>
    <row r="31" spans="1:2" ht="12.75">
      <c r="A31" s="9" t="s">
        <v>171</v>
      </c>
      <c r="B31" s="212">
        <f>IF(B8="Y",IF(ISTEXT(B19),"",IF(B29="","",B19*B29)),"")</f>
        <v>1.5050058698584066</v>
      </c>
    </row>
    <row r="32" spans="1:2" ht="12.75">
      <c r="A32" s="9" t="s">
        <v>172</v>
      </c>
      <c r="B32" s="212">
        <f>IF(B8="Y",MIN(B30:B31),"")</f>
        <v>1.2201162124038212</v>
      </c>
    </row>
    <row r="33" spans="1:2" ht="12.75">
      <c r="A33" s="9"/>
      <c r="B33" s="212"/>
    </row>
    <row r="34" spans="1:2" ht="12.75">
      <c r="A34" s="9" t="s">
        <v>173</v>
      </c>
      <c r="B34" s="212">
        <f>IF(ISTEXT(B26),"",EXP(1.645*(LN(((B26^2)/B7)+1))^0.5-0.5*LN(((B26^2)/B7)+1)))</f>
        <v>1.5524246137530893</v>
      </c>
    </row>
    <row r="35" spans="1:2" ht="12.75">
      <c r="A35" s="9" t="s">
        <v>174</v>
      </c>
      <c r="B35" s="212">
        <f>IF(ISTEXT(B26),"",EXP(2.326*(LN((B26^2)+1))^0.5-0.5*LN((B26^2)+1)))</f>
        <v>3.1144574273899703</v>
      </c>
    </row>
    <row r="36" spans="1:2" ht="12.75">
      <c r="A36" s="9" t="s">
        <v>175</v>
      </c>
      <c r="B36" s="212">
        <f>IF(B8="Y",IF(B32="","",IF(B34="","",B32*B34)),"")</f>
        <v>1.8941384397748844</v>
      </c>
    </row>
    <row r="37" spans="1:2" ht="12.75">
      <c r="A37" s="9" t="s">
        <v>176</v>
      </c>
      <c r="B37" s="212">
        <f>IF(B8="Y",IF(B32="","",IF(B35="","",B32*B35)),"")</f>
        <v>3.7999999999999994</v>
      </c>
    </row>
    <row r="38" spans="1:2" ht="12.75">
      <c r="A38" s="219"/>
      <c r="B38" s="212"/>
    </row>
    <row r="39" spans="1:2" ht="12.75">
      <c r="A39" s="220" t="s">
        <v>177</v>
      </c>
      <c r="B39" s="212">
        <f>IF(B35="","",IF(B34="","",B35/B34))</f>
        <v>2.006189157140818</v>
      </c>
    </row>
    <row r="40" spans="1:2" ht="12.75">
      <c r="A40" s="9" t="s">
        <v>178</v>
      </c>
      <c r="B40" s="212"/>
    </row>
    <row r="41" spans="1:2" ht="12.75">
      <c r="A41" s="9" t="s">
        <v>179</v>
      </c>
      <c r="B41" s="212"/>
    </row>
    <row r="42" spans="1:2" ht="12.75">
      <c r="A42" s="9"/>
      <c r="B42" s="215"/>
    </row>
    <row r="43" spans="1:2" ht="12.75">
      <c r="A43" s="9" t="s">
        <v>180</v>
      </c>
      <c r="B43" s="212">
        <f>IF(B8="Y",IF(B9="Y",MIN(B36,B40),IF(B9="N",B36,"check Y/N input for HH criteria")),IF(B8="N",IF(B9="Y",B40,IF(B9="N","No Aq/HH criteria","Check Y/N input for HH criteria")),"Check Y/N input for Aq/HH criteria"))</f>
        <v>1.8941384397748844</v>
      </c>
    </row>
    <row r="44" spans="1:2" ht="12.75">
      <c r="A44" s="222" t="s">
        <v>181</v>
      </c>
      <c r="B44" s="212">
        <f>IF(B8="Y",IF(B9="Y",MIN(B37,B41),IF(B9="N",B37,"check Y/N input for HH criteria")),IF(B8="N",IF(B9="Y",B41,IF(B9="N","No Aq/HH criteria","Check Y/N input for HH criteria")),"Check Y/N input for Aq/HH criteria"))</f>
        <v>3.7999999999999994</v>
      </c>
    </row>
    <row r="45" spans="1:2" ht="12.75">
      <c r="A45" s="222" t="s">
        <v>288</v>
      </c>
      <c r="B45" s="215"/>
    </row>
    <row r="46" spans="1:2" ht="12.75">
      <c r="A46" s="222" t="s">
        <v>287</v>
      </c>
      <c r="B46" s="215"/>
    </row>
    <row r="47" spans="1:2" ht="12.75">
      <c r="A47" s="222"/>
      <c r="B47" s="215"/>
    </row>
    <row r="48" spans="1:2" ht="12.75">
      <c r="A48" s="222" t="s">
        <v>183</v>
      </c>
      <c r="B48" s="214">
        <f>MIN(B43,B45)</f>
        <v>1.8941384397748844</v>
      </c>
    </row>
    <row r="49" spans="1:2" ht="12.75">
      <c r="A49" s="222" t="s">
        <v>184</v>
      </c>
      <c r="B49" s="214">
        <f>MIN(B44,B46)</f>
        <v>3.7999999999999994</v>
      </c>
    </row>
    <row r="50" spans="1:2" ht="12.75">
      <c r="A50" s="222" t="s">
        <v>263</v>
      </c>
      <c r="B50" s="455"/>
    </row>
    <row r="51" spans="1:2" ht="12.75">
      <c r="A51" s="222" t="s">
        <v>300</v>
      </c>
      <c r="B51" s="456"/>
    </row>
    <row r="52" spans="1:2" s="11" customFormat="1" ht="12.75">
      <c r="A52" s="222" t="s">
        <v>301</v>
      </c>
      <c r="B52" s="457"/>
    </row>
    <row r="53" spans="1:2" ht="12.75">
      <c r="A53" s="222" t="s">
        <v>291</v>
      </c>
      <c r="B53" s="458"/>
    </row>
    <row r="54" spans="1:2" ht="12.75">
      <c r="A54" s="195"/>
      <c r="B54" s="195"/>
    </row>
    <row r="55" ht="12.75">
      <c r="A55" s="223"/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&amp;C&amp;16Attachment 2
Calculation of Final Copper WQBEL</oddHeader>
    <oddFooter>&amp;C&amp;11Page &amp;P of &amp;N&amp;R&amp;11&amp;F &amp; 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2" max="2" width="25.28125" style="0" bestFit="1" customWidth="1"/>
    <col min="3" max="5" width="9.140625" style="16" customWidth="1"/>
    <col min="6" max="6" width="20.421875" style="0" bestFit="1" customWidth="1"/>
    <col min="7" max="8" width="11.421875" style="0" customWidth="1"/>
    <col min="9" max="9" width="3.28125" style="0" customWidth="1"/>
    <col min="10" max="10" width="25.28125" style="0" bestFit="1" customWidth="1"/>
    <col min="14" max="14" width="15.421875" style="0" bestFit="1" customWidth="1"/>
    <col min="16" max="16" width="10.8515625" style="0" bestFit="1" customWidth="1"/>
  </cols>
  <sheetData>
    <row r="1" spans="1:13" ht="15.75">
      <c r="A1" s="502"/>
      <c r="B1" s="474" t="s">
        <v>753</v>
      </c>
      <c r="C1" s="473"/>
      <c r="D1" s="473"/>
      <c r="E1" s="473"/>
      <c r="F1" s="66"/>
      <c r="G1" s="460"/>
      <c r="H1" s="276"/>
      <c r="I1" s="276"/>
      <c r="J1" s="475" t="s">
        <v>754</v>
      </c>
      <c r="K1" s="576"/>
      <c r="L1" s="577"/>
      <c r="M1" s="578"/>
    </row>
    <row r="2" spans="1:14" ht="12.75">
      <c r="A2" s="502"/>
      <c r="B2" s="472" t="s">
        <v>437</v>
      </c>
      <c r="C2" s="472" t="s">
        <v>584</v>
      </c>
      <c r="D2" s="472" t="s">
        <v>443</v>
      </c>
      <c r="E2" s="472" t="s">
        <v>444</v>
      </c>
      <c r="F2" s="472" t="s">
        <v>440</v>
      </c>
      <c r="G2" s="500"/>
      <c r="H2" s="276"/>
      <c r="I2" s="502"/>
      <c r="J2" s="472" t="s">
        <v>437</v>
      </c>
      <c r="K2" s="472" t="s">
        <v>584</v>
      </c>
      <c r="L2" s="472" t="s">
        <v>443</v>
      </c>
      <c r="M2" s="472" t="s">
        <v>444</v>
      </c>
      <c r="N2" s="472" t="s">
        <v>440</v>
      </c>
    </row>
    <row r="3" spans="1:14" ht="12.75">
      <c r="A3" s="502"/>
      <c r="B3" s="66" t="s">
        <v>585</v>
      </c>
      <c r="C3" s="459" t="s">
        <v>297</v>
      </c>
      <c r="D3" s="459">
        <v>0.28</v>
      </c>
      <c r="E3" s="459">
        <v>0.5</v>
      </c>
      <c r="F3" s="66" t="s">
        <v>586</v>
      </c>
      <c r="G3" s="501"/>
      <c r="H3" s="276"/>
      <c r="I3" s="502"/>
      <c r="J3" s="66" t="s">
        <v>587</v>
      </c>
      <c r="K3" s="461" t="s">
        <v>297</v>
      </c>
      <c r="L3" s="461"/>
      <c r="M3" s="461">
        <v>1</v>
      </c>
      <c r="N3" s="66" t="s">
        <v>586</v>
      </c>
    </row>
    <row r="4" spans="1:14" ht="12.75">
      <c r="A4" s="502"/>
      <c r="B4" s="66" t="s">
        <v>588</v>
      </c>
      <c r="C4" s="459" t="s">
        <v>297</v>
      </c>
      <c r="D4" s="459">
        <v>0.16</v>
      </c>
      <c r="E4" s="459">
        <v>0.5</v>
      </c>
      <c r="F4" s="66" t="s">
        <v>586</v>
      </c>
      <c r="G4" s="501"/>
      <c r="H4" s="276"/>
      <c r="I4" s="502"/>
      <c r="J4" s="66" t="s">
        <v>589</v>
      </c>
      <c r="K4" s="461" t="s">
        <v>297</v>
      </c>
      <c r="L4" s="461"/>
      <c r="M4" s="461">
        <v>0.5</v>
      </c>
      <c r="N4" s="66" t="s">
        <v>586</v>
      </c>
    </row>
    <row r="5" spans="1:14" ht="12.75">
      <c r="A5" s="502"/>
      <c r="B5" s="66" t="s">
        <v>590</v>
      </c>
      <c r="C5" s="459" t="s">
        <v>297</v>
      </c>
      <c r="D5" s="459">
        <v>0.24</v>
      </c>
      <c r="E5" s="459">
        <v>0.5</v>
      </c>
      <c r="F5" s="66" t="s">
        <v>586</v>
      </c>
      <c r="G5" s="501"/>
      <c r="H5" s="276"/>
      <c r="I5" s="502"/>
      <c r="J5" s="66" t="s">
        <v>585</v>
      </c>
      <c r="K5" s="461" t="s">
        <v>297</v>
      </c>
      <c r="L5" s="461"/>
      <c r="M5" s="461">
        <v>2</v>
      </c>
      <c r="N5" s="66" t="s">
        <v>586</v>
      </c>
    </row>
    <row r="6" spans="1:14" ht="12.75">
      <c r="A6" s="502"/>
      <c r="B6" s="66" t="s">
        <v>587</v>
      </c>
      <c r="C6" s="459" t="s">
        <v>297</v>
      </c>
      <c r="D6" s="459">
        <v>0.28</v>
      </c>
      <c r="E6" s="459">
        <v>0.5</v>
      </c>
      <c r="F6" s="66" t="s">
        <v>586</v>
      </c>
      <c r="G6" s="501"/>
      <c r="H6" s="276"/>
      <c r="I6" s="502"/>
      <c r="J6" s="66" t="s">
        <v>590</v>
      </c>
      <c r="K6" s="461" t="s">
        <v>297</v>
      </c>
      <c r="L6" s="461"/>
      <c r="M6" s="461">
        <v>0.5</v>
      </c>
      <c r="N6" s="66" t="s">
        <v>586</v>
      </c>
    </row>
    <row r="7" spans="1:14" ht="12.75">
      <c r="A7" s="502"/>
      <c r="B7" s="66" t="s">
        <v>589</v>
      </c>
      <c r="C7" s="459" t="s">
        <v>297</v>
      </c>
      <c r="D7" s="459">
        <v>0.3</v>
      </c>
      <c r="E7" s="459">
        <v>0.5</v>
      </c>
      <c r="F7" s="66" t="s">
        <v>586</v>
      </c>
      <c r="G7" s="501"/>
      <c r="H7" s="276"/>
      <c r="I7" s="502"/>
      <c r="J7" s="66" t="s">
        <v>591</v>
      </c>
      <c r="K7" s="461" t="s">
        <v>297</v>
      </c>
      <c r="L7" s="461"/>
      <c r="M7" s="461">
        <v>0.5</v>
      </c>
      <c r="N7" s="66" t="s">
        <v>586</v>
      </c>
    </row>
    <row r="8" spans="1:14" ht="12.75">
      <c r="A8" s="502"/>
      <c r="B8" s="66" t="s">
        <v>592</v>
      </c>
      <c r="C8" s="459" t="s">
        <v>297</v>
      </c>
      <c r="D8" s="459">
        <v>0.16</v>
      </c>
      <c r="E8" s="459">
        <v>0.5</v>
      </c>
      <c r="F8" s="66" t="s">
        <v>586</v>
      </c>
      <c r="G8" s="501"/>
      <c r="H8" s="276"/>
      <c r="I8" s="502"/>
      <c r="J8" s="66" t="s">
        <v>593</v>
      </c>
      <c r="K8" s="461" t="s">
        <v>297</v>
      </c>
      <c r="L8" s="461"/>
      <c r="M8" s="461">
        <v>2</v>
      </c>
      <c r="N8" s="66" t="s">
        <v>586</v>
      </c>
    </row>
    <row r="9" spans="1:14" ht="12.75">
      <c r="A9" s="502"/>
      <c r="B9" s="66" t="s">
        <v>114</v>
      </c>
      <c r="C9" s="459" t="s">
        <v>297</v>
      </c>
      <c r="D9" s="459">
        <v>0.33</v>
      </c>
      <c r="E9" s="459">
        <v>0.5</v>
      </c>
      <c r="F9" s="66" t="s">
        <v>586</v>
      </c>
      <c r="G9" s="501"/>
      <c r="H9" s="276"/>
      <c r="I9" s="502"/>
      <c r="J9" s="66" t="s">
        <v>594</v>
      </c>
      <c r="K9" s="461" t="s">
        <v>297</v>
      </c>
      <c r="L9" s="461"/>
      <c r="M9" s="461">
        <v>0.5</v>
      </c>
      <c r="N9" s="66" t="s">
        <v>586</v>
      </c>
    </row>
    <row r="10" spans="1:14" ht="12.75">
      <c r="A10" s="502"/>
      <c r="B10" s="66" t="s">
        <v>593</v>
      </c>
      <c r="C10" s="459" t="s">
        <v>297</v>
      </c>
      <c r="D10" s="459">
        <v>0.21</v>
      </c>
      <c r="E10" s="459">
        <v>0.5</v>
      </c>
      <c r="F10" s="66" t="s">
        <v>586</v>
      </c>
      <c r="G10" s="501"/>
      <c r="H10" s="276"/>
      <c r="I10" s="502"/>
      <c r="J10" s="66" t="s">
        <v>595</v>
      </c>
      <c r="K10" s="461" t="s">
        <v>297</v>
      </c>
      <c r="L10" s="461"/>
      <c r="M10" s="461">
        <v>0.5</v>
      </c>
      <c r="N10" s="66" t="s">
        <v>586</v>
      </c>
    </row>
    <row r="11" spans="1:14" ht="12.75">
      <c r="A11" s="502"/>
      <c r="B11" s="66" t="s">
        <v>594</v>
      </c>
      <c r="C11" s="459" t="s">
        <v>297</v>
      </c>
      <c r="D11" s="459">
        <v>0.24</v>
      </c>
      <c r="E11" s="459">
        <v>0.5</v>
      </c>
      <c r="F11" s="66" t="s">
        <v>586</v>
      </c>
      <c r="G11" s="501"/>
      <c r="H11" s="276"/>
      <c r="I11" s="502"/>
      <c r="J11" s="66" t="s">
        <v>596</v>
      </c>
      <c r="K11" s="461" t="s">
        <v>297</v>
      </c>
      <c r="L11" s="461"/>
      <c r="M11" s="461">
        <v>0.5</v>
      </c>
      <c r="N11" s="66" t="s">
        <v>586</v>
      </c>
    </row>
    <row r="12" spans="1:14" ht="12.75">
      <c r="A12" s="502"/>
      <c r="B12" s="66" t="s">
        <v>597</v>
      </c>
      <c r="C12" s="459" t="s">
        <v>297</v>
      </c>
      <c r="D12" s="459">
        <v>0.27</v>
      </c>
      <c r="E12" s="459">
        <v>0.5</v>
      </c>
      <c r="F12" s="66" t="s">
        <v>586</v>
      </c>
      <c r="G12" s="501"/>
      <c r="H12" s="276"/>
      <c r="I12" s="502"/>
      <c r="J12" s="66" t="s">
        <v>114</v>
      </c>
      <c r="K12" s="461" t="s">
        <v>297</v>
      </c>
      <c r="L12" s="461"/>
      <c r="M12" s="461">
        <v>5</v>
      </c>
      <c r="N12" s="66" t="s">
        <v>586</v>
      </c>
    </row>
    <row r="13" spans="1:14" ht="12.75">
      <c r="A13" s="502"/>
      <c r="B13" s="66" t="s">
        <v>598</v>
      </c>
      <c r="C13" s="459" t="s">
        <v>297</v>
      </c>
      <c r="D13" s="459">
        <v>0.2</v>
      </c>
      <c r="E13" s="459">
        <v>0.5</v>
      </c>
      <c r="F13" s="66" t="s">
        <v>586</v>
      </c>
      <c r="G13" s="501"/>
      <c r="H13" s="276"/>
      <c r="I13" s="502"/>
      <c r="J13" s="66" t="s">
        <v>597</v>
      </c>
      <c r="K13" s="461" t="s">
        <v>297</v>
      </c>
      <c r="L13" s="461"/>
      <c r="M13" s="461">
        <v>2</v>
      </c>
      <c r="N13" s="66" t="s">
        <v>586</v>
      </c>
    </row>
    <row r="14" spans="1:14" ht="12.75">
      <c r="A14" s="502"/>
      <c r="B14" s="66" t="s">
        <v>599</v>
      </c>
      <c r="C14" s="459" t="s">
        <v>297</v>
      </c>
      <c r="D14" s="459">
        <v>0.5</v>
      </c>
      <c r="E14" s="459">
        <v>0.5</v>
      </c>
      <c r="F14" s="66" t="s">
        <v>586</v>
      </c>
      <c r="G14" s="501"/>
      <c r="H14" s="276"/>
      <c r="I14" s="502"/>
      <c r="J14" s="66" t="s">
        <v>600</v>
      </c>
      <c r="K14" s="461" t="s">
        <v>297</v>
      </c>
      <c r="L14" s="461"/>
      <c r="M14" s="461">
        <v>0.5</v>
      </c>
      <c r="N14" s="66" t="s">
        <v>586</v>
      </c>
    </row>
    <row r="15" spans="1:14" ht="12.75">
      <c r="A15" s="502"/>
      <c r="B15" s="66" t="s">
        <v>601</v>
      </c>
      <c r="C15" s="459" t="s">
        <v>297</v>
      </c>
      <c r="D15" s="459">
        <v>7.3</v>
      </c>
      <c r="E15" s="459">
        <v>100</v>
      </c>
      <c r="F15" s="66" t="s">
        <v>586</v>
      </c>
      <c r="G15" s="501"/>
      <c r="H15" s="276"/>
      <c r="I15" s="502"/>
      <c r="J15" s="66" t="s">
        <v>602</v>
      </c>
      <c r="K15" s="461" t="s">
        <v>297</v>
      </c>
      <c r="L15" s="461"/>
      <c r="M15" s="461">
        <v>0.5</v>
      </c>
      <c r="N15" s="66" t="s">
        <v>586</v>
      </c>
    </row>
    <row r="16" spans="1:14" ht="12.75">
      <c r="A16" s="502"/>
      <c r="B16" s="66" t="s">
        <v>603</v>
      </c>
      <c r="C16" s="459" t="s">
        <v>297</v>
      </c>
      <c r="D16" s="459">
        <v>5.8</v>
      </c>
      <c r="E16" s="459">
        <v>20</v>
      </c>
      <c r="F16" s="66" t="s">
        <v>586</v>
      </c>
      <c r="G16" s="501"/>
      <c r="H16" s="276"/>
      <c r="I16" s="502"/>
      <c r="J16" s="66" t="s">
        <v>598</v>
      </c>
      <c r="K16" s="461" t="s">
        <v>297</v>
      </c>
      <c r="L16" s="461"/>
      <c r="M16" s="461">
        <v>2</v>
      </c>
      <c r="N16" s="66" t="s">
        <v>586</v>
      </c>
    </row>
    <row r="17" spans="1:14" ht="12.75">
      <c r="A17" s="502"/>
      <c r="B17" s="66" t="s">
        <v>604</v>
      </c>
      <c r="C17" s="459" t="s">
        <v>297</v>
      </c>
      <c r="D17" s="459">
        <v>0.15</v>
      </c>
      <c r="E17" s="459">
        <v>0.5</v>
      </c>
      <c r="F17" s="66" t="s">
        <v>586</v>
      </c>
      <c r="G17" s="501"/>
      <c r="H17" s="276"/>
      <c r="I17" s="502"/>
      <c r="J17" s="66" t="s">
        <v>30</v>
      </c>
      <c r="K17" s="461" t="s">
        <v>297</v>
      </c>
      <c r="L17" s="461"/>
      <c r="M17" s="461">
        <v>5</v>
      </c>
      <c r="N17" s="66" t="s">
        <v>586</v>
      </c>
    </row>
    <row r="18" spans="1:14" ht="12.75">
      <c r="A18" s="502"/>
      <c r="B18" s="66" t="s">
        <v>605</v>
      </c>
      <c r="C18" s="459" t="s">
        <v>297</v>
      </c>
      <c r="D18" s="459">
        <v>0.23</v>
      </c>
      <c r="E18" s="459">
        <v>0.5</v>
      </c>
      <c r="F18" s="66" t="s">
        <v>586</v>
      </c>
      <c r="G18" s="501"/>
      <c r="H18" s="276"/>
      <c r="I18" s="502"/>
      <c r="J18" s="66" t="s">
        <v>31</v>
      </c>
      <c r="K18" s="461" t="s">
        <v>297</v>
      </c>
      <c r="L18" s="461"/>
      <c r="M18" s="461">
        <v>2</v>
      </c>
      <c r="N18" s="66" t="s">
        <v>586</v>
      </c>
    </row>
    <row r="19" spans="1:14" ht="12.75">
      <c r="A19" s="502"/>
      <c r="B19" s="66" t="s">
        <v>606</v>
      </c>
      <c r="C19" s="459" t="s">
        <v>297</v>
      </c>
      <c r="D19" s="459">
        <v>0.33</v>
      </c>
      <c r="E19" s="459">
        <v>0.5</v>
      </c>
      <c r="F19" s="66" t="s">
        <v>586</v>
      </c>
      <c r="G19" s="501"/>
      <c r="H19" s="276"/>
      <c r="I19" s="502"/>
      <c r="J19" s="66" t="s">
        <v>32</v>
      </c>
      <c r="K19" s="461" t="s">
        <v>297</v>
      </c>
      <c r="L19" s="461"/>
      <c r="M19" s="461">
        <v>0.5</v>
      </c>
      <c r="N19" s="66" t="s">
        <v>586</v>
      </c>
    </row>
    <row r="20" spans="1:14" ht="12.75">
      <c r="A20" s="502"/>
      <c r="B20" s="66" t="s">
        <v>607</v>
      </c>
      <c r="C20" s="459" t="s">
        <v>297</v>
      </c>
      <c r="D20" s="459">
        <v>0.4</v>
      </c>
      <c r="E20" s="459">
        <v>0.5</v>
      </c>
      <c r="F20" s="66" t="s">
        <v>586</v>
      </c>
      <c r="G20" s="501"/>
      <c r="H20" s="276"/>
      <c r="I20" s="502"/>
      <c r="J20" s="66" t="s">
        <v>33</v>
      </c>
      <c r="K20" s="461" t="s">
        <v>297</v>
      </c>
      <c r="L20" s="461"/>
      <c r="M20" s="461">
        <v>2</v>
      </c>
      <c r="N20" s="66" t="s">
        <v>586</v>
      </c>
    </row>
    <row r="21" spans="1:14" ht="12.75">
      <c r="A21" s="502"/>
      <c r="B21" s="66" t="s">
        <v>608</v>
      </c>
      <c r="C21" s="459" t="s">
        <v>297</v>
      </c>
      <c r="D21" s="459">
        <v>0.48</v>
      </c>
      <c r="E21" s="459">
        <v>0.5</v>
      </c>
      <c r="F21" s="66" t="s">
        <v>586</v>
      </c>
      <c r="G21" s="501"/>
      <c r="H21" s="276"/>
      <c r="I21" s="502"/>
      <c r="J21" s="66" t="s">
        <v>345</v>
      </c>
      <c r="K21" s="461" t="s">
        <v>297</v>
      </c>
      <c r="L21" s="461"/>
      <c r="M21" s="461">
        <v>2</v>
      </c>
      <c r="N21" s="66" t="s">
        <v>586</v>
      </c>
    </row>
    <row r="22" spans="1:14" ht="12.75">
      <c r="A22" s="502"/>
      <c r="B22" s="66" t="s">
        <v>609</v>
      </c>
      <c r="C22" s="459" t="s">
        <v>297</v>
      </c>
      <c r="D22" s="459">
        <v>0.13</v>
      </c>
      <c r="E22" s="459">
        <v>0.5</v>
      </c>
      <c r="F22" s="66" t="s">
        <v>586</v>
      </c>
      <c r="G22" s="501"/>
      <c r="H22" s="276"/>
      <c r="I22" s="502"/>
      <c r="J22" s="66" t="s">
        <v>339</v>
      </c>
      <c r="K22" s="461" t="s">
        <v>297</v>
      </c>
      <c r="L22" s="461"/>
      <c r="M22" s="461">
        <v>0.5</v>
      </c>
      <c r="N22" s="66" t="s">
        <v>586</v>
      </c>
    </row>
    <row r="23" spans="1:14" ht="12.75">
      <c r="A23" s="502"/>
      <c r="B23" s="66" t="s">
        <v>610</v>
      </c>
      <c r="C23" s="459" t="s">
        <v>297</v>
      </c>
      <c r="D23" s="459">
        <v>0.29</v>
      </c>
      <c r="E23" s="459">
        <v>0.5</v>
      </c>
      <c r="F23" s="66" t="s">
        <v>586</v>
      </c>
      <c r="G23" s="501"/>
      <c r="H23" s="276"/>
      <c r="I23" s="502"/>
      <c r="J23" s="66" t="s">
        <v>35</v>
      </c>
      <c r="K23" s="461" t="s">
        <v>297</v>
      </c>
      <c r="L23" s="461"/>
      <c r="M23" s="461">
        <v>2</v>
      </c>
      <c r="N23" s="66" t="s">
        <v>586</v>
      </c>
    </row>
    <row r="24" spans="1:14" ht="12.75">
      <c r="A24" s="502"/>
      <c r="B24" s="66" t="s">
        <v>611</v>
      </c>
      <c r="C24" s="459" t="s">
        <v>297</v>
      </c>
      <c r="D24" s="459">
        <v>0.16</v>
      </c>
      <c r="E24" s="459">
        <v>0.5</v>
      </c>
      <c r="F24" s="66" t="s">
        <v>586</v>
      </c>
      <c r="G24" s="501"/>
      <c r="H24" s="276"/>
      <c r="I24" s="502"/>
      <c r="J24" s="66" t="s">
        <v>37</v>
      </c>
      <c r="K24" s="461" t="s">
        <v>297</v>
      </c>
      <c r="L24" s="461"/>
      <c r="M24" s="461">
        <v>2</v>
      </c>
      <c r="N24" s="66" t="s">
        <v>586</v>
      </c>
    </row>
    <row r="25" spans="1:14" ht="12.75">
      <c r="A25" s="502"/>
      <c r="B25" s="66" t="s">
        <v>612</v>
      </c>
      <c r="C25" s="459" t="s">
        <v>297</v>
      </c>
      <c r="D25" s="459">
        <v>0.34</v>
      </c>
      <c r="E25" s="459">
        <v>0.5</v>
      </c>
      <c r="F25" s="66" t="s">
        <v>586</v>
      </c>
      <c r="G25" s="501"/>
      <c r="H25" s="276"/>
      <c r="I25" s="502"/>
      <c r="J25" s="66" t="s">
        <v>38</v>
      </c>
      <c r="K25" s="461" t="s">
        <v>297</v>
      </c>
      <c r="L25" s="461"/>
      <c r="M25" s="461">
        <v>1</v>
      </c>
      <c r="N25" s="66" t="s">
        <v>586</v>
      </c>
    </row>
    <row r="26" spans="1:14" ht="12.75">
      <c r="A26" s="502"/>
      <c r="B26" s="66" t="s">
        <v>595</v>
      </c>
      <c r="C26" s="459" t="s">
        <v>297</v>
      </c>
      <c r="D26" s="459">
        <v>0.18</v>
      </c>
      <c r="E26" s="459">
        <v>0.5</v>
      </c>
      <c r="F26" s="66" t="s">
        <v>586</v>
      </c>
      <c r="G26" s="501"/>
      <c r="H26" s="276"/>
      <c r="I26" s="502"/>
      <c r="J26" s="66" t="s">
        <v>39</v>
      </c>
      <c r="K26" s="461">
        <v>22</v>
      </c>
      <c r="L26" s="461"/>
      <c r="M26" s="461">
        <v>0.5</v>
      </c>
      <c r="N26" s="66" t="s">
        <v>586</v>
      </c>
    </row>
    <row r="27" spans="1:14" ht="12.75">
      <c r="A27" s="502"/>
      <c r="B27" s="66" t="s">
        <v>600</v>
      </c>
      <c r="C27" s="459" t="s">
        <v>297</v>
      </c>
      <c r="D27" s="459">
        <v>0.34</v>
      </c>
      <c r="E27" s="459">
        <v>0.5</v>
      </c>
      <c r="F27" s="66" t="s">
        <v>586</v>
      </c>
      <c r="G27" s="501"/>
      <c r="H27" s="276"/>
      <c r="I27" s="502"/>
      <c r="J27" s="66" t="s">
        <v>346</v>
      </c>
      <c r="K27" s="461" t="s">
        <v>297</v>
      </c>
      <c r="L27" s="461"/>
      <c r="M27" s="461">
        <v>2</v>
      </c>
      <c r="N27" s="66" t="s">
        <v>586</v>
      </c>
    </row>
    <row r="28" spans="1:14" ht="12.75">
      <c r="A28" s="502"/>
      <c r="B28" s="66" t="s">
        <v>613</v>
      </c>
      <c r="C28" s="459" t="s">
        <v>297</v>
      </c>
      <c r="D28" s="459">
        <v>0.36</v>
      </c>
      <c r="E28" s="459">
        <v>0.5</v>
      </c>
      <c r="F28" s="66" t="s">
        <v>586</v>
      </c>
      <c r="G28" s="501"/>
      <c r="H28" s="276"/>
      <c r="I28" s="502"/>
      <c r="J28" s="66" t="s">
        <v>340</v>
      </c>
      <c r="K28" s="461">
        <v>0.25</v>
      </c>
      <c r="L28" s="461"/>
      <c r="M28" s="461">
        <v>0.5</v>
      </c>
      <c r="N28" s="66" t="s">
        <v>586</v>
      </c>
    </row>
    <row r="29" spans="1:14" ht="12.75">
      <c r="A29" s="502"/>
      <c r="B29" s="66" t="s">
        <v>614</v>
      </c>
      <c r="C29" s="459" t="s">
        <v>297</v>
      </c>
      <c r="D29" s="459">
        <v>0.2</v>
      </c>
      <c r="E29" s="459">
        <v>0.5</v>
      </c>
      <c r="F29" s="66" t="s">
        <v>586</v>
      </c>
      <c r="G29" s="501"/>
      <c r="H29" s="276"/>
      <c r="I29" s="502"/>
      <c r="J29" s="66" t="s">
        <v>341</v>
      </c>
      <c r="K29" s="461">
        <v>1.9</v>
      </c>
      <c r="L29" s="461"/>
      <c r="M29" s="461">
        <v>0.5</v>
      </c>
      <c r="N29" s="66" t="s">
        <v>586</v>
      </c>
    </row>
    <row r="30" spans="1:14" ht="12.75">
      <c r="A30" s="502"/>
      <c r="B30" s="66" t="s">
        <v>615</v>
      </c>
      <c r="C30" s="459" t="s">
        <v>297</v>
      </c>
      <c r="D30" s="459">
        <v>0.18</v>
      </c>
      <c r="E30" s="459">
        <v>0.5</v>
      </c>
      <c r="F30" s="66" t="s">
        <v>586</v>
      </c>
      <c r="G30" s="501"/>
      <c r="H30" s="276"/>
      <c r="I30" s="502"/>
      <c r="J30" s="66" t="s">
        <v>616</v>
      </c>
      <c r="K30" s="461" t="s">
        <v>297</v>
      </c>
      <c r="L30" s="461"/>
      <c r="M30" s="461">
        <v>2</v>
      </c>
      <c r="N30" s="66" t="s">
        <v>586</v>
      </c>
    </row>
    <row r="31" spans="1:14" ht="12.75">
      <c r="A31" s="502"/>
      <c r="B31" s="66" t="s">
        <v>102</v>
      </c>
      <c r="C31" s="459" t="s">
        <v>297</v>
      </c>
      <c r="D31" s="459">
        <v>0.23</v>
      </c>
      <c r="E31" s="459">
        <v>0.5</v>
      </c>
      <c r="F31" s="66" t="s">
        <v>586</v>
      </c>
      <c r="G31" s="501"/>
      <c r="H31" s="276"/>
      <c r="I31" s="502"/>
      <c r="J31" s="66" t="s">
        <v>46</v>
      </c>
      <c r="K31" s="461" t="s">
        <v>297</v>
      </c>
      <c r="L31" s="461"/>
      <c r="M31" s="461">
        <v>2</v>
      </c>
      <c r="N31" s="66" t="s">
        <v>586</v>
      </c>
    </row>
    <row r="32" spans="1:14" ht="12.75">
      <c r="A32" s="502"/>
      <c r="B32" s="66" t="s">
        <v>617</v>
      </c>
      <c r="C32" s="462">
        <v>2.1</v>
      </c>
      <c r="D32" s="459">
        <v>0.88</v>
      </c>
      <c r="E32" s="459">
        <v>2</v>
      </c>
      <c r="F32" s="66" t="s">
        <v>586</v>
      </c>
      <c r="G32" s="501"/>
      <c r="H32" s="276"/>
      <c r="I32" s="502"/>
      <c r="J32" s="66" t="s">
        <v>102</v>
      </c>
      <c r="K32" s="461" t="s">
        <v>297</v>
      </c>
      <c r="L32" s="461"/>
      <c r="M32" s="461">
        <v>1</v>
      </c>
      <c r="N32" s="66" t="s">
        <v>586</v>
      </c>
    </row>
    <row r="33" spans="1:14" ht="12.75">
      <c r="A33" s="502"/>
      <c r="B33" s="66" t="s">
        <v>618</v>
      </c>
      <c r="C33" s="462">
        <v>1</v>
      </c>
      <c r="D33" s="459">
        <v>0.31</v>
      </c>
      <c r="E33" s="459">
        <v>0.5</v>
      </c>
      <c r="F33" s="66" t="s">
        <v>586</v>
      </c>
      <c r="G33" s="501"/>
      <c r="H33" s="276"/>
      <c r="I33" s="502"/>
      <c r="J33" s="66" t="s">
        <v>107</v>
      </c>
      <c r="K33" s="461" t="s">
        <v>297</v>
      </c>
      <c r="L33" s="461"/>
      <c r="M33" s="461">
        <v>10</v>
      </c>
      <c r="N33" s="66" t="s">
        <v>586</v>
      </c>
    </row>
    <row r="34" spans="1:14" ht="12.75">
      <c r="A34" s="502"/>
      <c r="B34" s="66" t="s">
        <v>107</v>
      </c>
      <c r="C34" s="459" t="s">
        <v>297</v>
      </c>
      <c r="D34" s="459">
        <v>0.74</v>
      </c>
      <c r="E34" s="459">
        <v>1</v>
      </c>
      <c r="F34" s="66" t="s">
        <v>586</v>
      </c>
      <c r="G34" s="501"/>
      <c r="H34" s="276"/>
      <c r="I34" s="502"/>
      <c r="J34" s="66" t="s">
        <v>347</v>
      </c>
      <c r="K34" s="461" t="s">
        <v>297</v>
      </c>
      <c r="L34" s="461"/>
      <c r="M34" s="461">
        <v>0.5</v>
      </c>
      <c r="N34" s="66" t="s">
        <v>586</v>
      </c>
    </row>
    <row r="35" spans="1:14" ht="12.75">
      <c r="A35" s="502"/>
      <c r="B35" s="66" t="s">
        <v>619</v>
      </c>
      <c r="C35" s="459" t="s">
        <v>297</v>
      </c>
      <c r="D35" s="459">
        <v>0.22</v>
      </c>
      <c r="E35" s="459">
        <v>0.5</v>
      </c>
      <c r="F35" s="66" t="s">
        <v>586</v>
      </c>
      <c r="G35" s="501"/>
      <c r="H35" s="276"/>
      <c r="I35" s="502"/>
      <c r="J35" s="66" t="s">
        <v>52</v>
      </c>
      <c r="K35" s="461" t="s">
        <v>297</v>
      </c>
      <c r="L35" s="461"/>
      <c r="M35" s="461">
        <v>2</v>
      </c>
      <c r="N35" s="66" t="s">
        <v>586</v>
      </c>
    </row>
    <row r="36" spans="1:14" ht="12.75">
      <c r="A36" s="502"/>
      <c r="B36" s="66" t="s">
        <v>620</v>
      </c>
      <c r="C36" s="459" t="s">
        <v>297</v>
      </c>
      <c r="D36" s="459">
        <v>0.15</v>
      </c>
      <c r="E36" s="459">
        <v>0.5</v>
      </c>
      <c r="F36" s="66" t="s">
        <v>586</v>
      </c>
      <c r="G36" s="501"/>
      <c r="H36" s="276"/>
      <c r="I36" s="502"/>
      <c r="J36" s="66" t="s">
        <v>348</v>
      </c>
      <c r="K36" s="461" t="s">
        <v>297</v>
      </c>
      <c r="L36" s="461"/>
      <c r="M36" s="461">
        <v>1</v>
      </c>
      <c r="N36" s="66" t="s">
        <v>586</v>
      </c>
    </row>
    <row r="37" spans="1:14" ht="12.75">
      <c r="A37" s="502"/>
      <c r="B37" s="66" t="s">
        <v>621</v>
      </c>
      <c r="C37" s="459" t="s">
        <v>297</v>
      </c>
      <c r="D37" s="459">
        <v>0.4</v>
      </c>
      <c r="E37" s="459">
        <v>0.5</v>
      </c>
      <c r="F37" s="66" t="s">
        <v>586</v>
      </c>
      <c r="G37" s="501"/>
      <c r="H37" s="276"/>
      <c r="I37" s="502"/>
      <c r="J37" s="66" t="s">
        <v>349</v>
      </c>
      <c r="K37" s="461" t="s">
        <v>297</v>
      </c>
      <c r="L37" s="461"/>
      <c r="M37" s="461">
        <v>2</v>
      </c>
      <c r="N37" s="66" t="s">
        <v>586</v>
      </c>
    </row>
    <row r="38" spans="1:14" ht="12.75">
      <c r="A38" s="502"/>
      <c r="B38" s="66" t="s">
        <v>622</v>
      </c>
      <c r="C38" s="459" t="s">
        <v>297</v>
      </c>
      <c r="D38" s="459">
        <v>0.5</v>
      </c>
      <c r="E38" s="459">
        <v>1</v>
      </c>
      <c r="F38" s="66" t="s">
        <v>586</v>
      </c>
      <c r="G38" s="501"/>
      <c r="H38" s="276"/>
      <c r="I38" s="502"/>
      <c r="J38" s="66" t="s">
        <v>350</v>
      </c>
      <c r="K38" s="461" t="s">
        <v>297</v>
      </c>
      <c r="L38" s="461"/>
      <c r="M38" s="461">
        <v>0.5</v>
      </c>
      <c r="N38" s="66" t="s">
        <v>586</v>
      </c>
    </row>
    <row r="39" spans="1:14" ht="12.75">
      <c r="A39" s="502"/>
      <c r="B39" s="66" t="s">
        <v>623</v>
      </c>
      <c r="C39" s="459" t="s">
        <v>297</v>
      </c>
      <c r="D39" s="459">
        <v>0.2</v>
      </c>
      <c r="E39" s="459">
        <v>0.5</v>
      </c>
      <c r="F39" s="66" t="s">
        <v>586</v>
      </c>
      <c r="G39" s="501"/>
      <c r="H39" s="276"/>
      <c r="I39" s="502"/>
      <c r="J39" s="66" t="s">
        <v>398</v>
      </c>
      <c r="K39" s="461">
        <v>0.2</v>
      </c>
      <c r="L39" s="461"/>
      <c r="M39" s="461">
        <v>3</v>
      </c>
      <c r="N39" s="66" t="s">
        <v>586</v>
      </c>
    </row>
    <row r="40" spans="1:14" ht="12.75">
      <c r="A40" s="502"/>
      <c r="B40" s="66" t="s">
        <v>602</v>
      </c>
      <c r="C40" s="459" t="s">
        <v>297</v>
      </c>
      <c r="D40" s="459">
        <v>0.4</v>
      </c>
      <c r="E40" s="459">
        <v>0.5</v>
      </c>
      <c r="F40" s="66" t="s">
        <v>586</v>
      </c>
      <c r="G40" s="501"/>
      <c r="H40" s="276"/>
      <c r="I40" s="502"/>
      <c r="J40" s="66" t="s">
        <v>399</v>
      </c>
      <c r="K40" s="461" t="s">
        <v>297</v>
      </c>
      <c r="L40" s="461"/>
      <c r="M40" s="461">
        <v>5</v>
      </c>
      <c r="N40" s="66" t="s">
        <v>586</v>
      </c>
    </row>
    <row r="41" spans="1:14" ht="12.75">
      <c r="A41" s="502"/>
      <c r="B41" s="66" t="s">
        <v>624</v>
      </c>
      <c r="C41" s="459" t="s">
        <v>297</v>
      </c>
      <c r="D41" s="459">
        <v>0.3</v>
      </c>
      <c r="E41" s="459">
        <v>0.5</v>
      </c>
      <c r="F41" s="66" t="s">
        <v>586</v>
      </c>
      <c r="G41" s="501"/>
      <c r="H41" s="276"/>
      <c r="I41" s="502"/>
      <c r="J41" s="66" t="s">
        <v>625</v>
      </c>
      <c r="K41" s="461" t="s">
        <v>297</v>
      </c>
      <c r="L41" s="461"/>
      <c r="M41" s="461">
        <v>10</v>
      </c>
      <c r="N41" s="66" t="s">
        <v>586</v>
      </c>
    </row>
    <row r="42" spans="1:14" ht="12.75">
      <c r="A42" s="502"/>
      <c r="B42" s="66" t="s">
        <v>626</v>
      </c>
      <c r="C42" s="459" t="s">
        <v>297</v>
      </c>
      <c r="D42" s="459">
        <v>0.42</v>
      </c>
      <c r="E42" s="459">
        <v>0.5</v>
      </c>
      <c r="F42" s="66" t="s">
        <v>586</v>
      </c>
      <c r="G42" s="501"/>
      <c r="H42" s="276"/>
      <c r="I42" s="502"/>
      <c r="J42" s="66" t="s">
        <v>401</v>
      </c>
      <c r="K42" s="461" t="s">
        <v>297</v>
      </c>
      <c r="L42" s="461"/>
      <c r="M42" s="461">
        <v>0.5</v>
      </c>
      <c r="N42" s="66" t="s">
        <v>586</v>
      </c>
    </row>
    <row r="43" spans="1:14" ht="12.75">
      <c r="A43" s="502"/>
      <c r="B43" s="66" t="s">
        <v>627</v>
      </c>
      <c r="C43" s="459" t="s">
        <v>297</v>
      </c>
      <c r="D43" s="459">
        <v>0.32</v>
      </c>
      <c r="E43" s="459">
        <v>0.5</v>
      </c>
      <c r="F43" s="66" t="s">
        <v>586</v>
      </c>
      <c r="G43" s="501"/>
      <c r="H43" s="276"/>
      <c r="I43" s="502"/>
      <c r="J43" s="66" t="s">
        <v>628</v>
      </c>
      <c r="K43" s="461" t="s">
        <v>297</v>
      </c>
      <c r="L43" s="461"/>
      <c r="M43" s="461">
        <v>0.5</v>
      </c>
      <c r="N43" s="66" t="s">
        <v>586</v>
      </c>
    </row>
    <row r="44" spans="1:14" ht="12.75">
      <c r="A44" s="502"/>
      <c r="B44" s="66"/>
      <c r="C44" s="459"/>
      <c r="D44" s="459"/>
      <c r="E44" s="459"/>
      <c r="F44" s="66"/>
      <c r="G44" s="501"/>
      <c r="H44" s="276"/>
      <c r="I44" s="502"/>
      <c r="J44" s="66" t="s">
        <v>629</v>
      </c>
      <c r="K44" s="461" t="s">
        <v>297</v>
      </c>
      <c r="L44" s="461"/>
      <c r="M44" s="461">
        <v>0.5</v>
      </c>
      <c r="N44" s="66" t="s">
        <v>586</v>
      </c>
    </row>
    <row r="45" spans="1:14" ht="12.75">
      <c r="A45" s="502"/>
      <c r="B45" s="66" t="s">
        <v>630</v>
      </c>
      <c r="C45" s="459">
        <v>190</v>
      </c>
      <c r="D45" s="459"/>
      <c r="E45" s="459">
        <v>10</v>
      </c>
      <c r="F45" s="66" t="s">
        <v>631</v>
      </c>
      <c r="G45" s="501"/>
      <c r="H45" s="276"/>
      <c r="I45" s="502"/>
      <c r="J45" s="66" t="s">
        <v>630</v>
      </c>
      <c r="K45" s="461">
        <v>2000</v>
      </c>
      <c r="L45" s="461"/>
      <c r="M45" s="461">
        <v>5</v>
      </c>
      <c r="N45" s="66"/>
    </row>
    <row r="46" spans="1:14" ht="12.75">
      <c r="A46" s="502"/>
      <c r="B46" s="66" t="s">
        <v>632</v>
      </c>
      <c r="C46" s="459">
        <v>0.12</v>
      </c>
      <c r="D46" s="459"/>
      <c r="E46" s="459">
        <v>0.0078</v>
      </c>
      <c r="F46" s="66" t="s">
        <v>633</v>
      </c>
      <c r="G46" s="501"/>
      <c r="H46" s="276"/>
      <c r="I46" s="502"/>
      <c r="J46" s="66" t="s">
        <v>632</v>
      </c>
      <c r="K46" s="461">
        <v>2.2</v>
      </c>
      <c r="L46" s="461"/>
      <c r="M46" s="461">
        <v>1</v>
      </c>
      <c r="N46" s="66"/>
    </row>
    <row r="47" spans="1:14" ht="12.75">
      <c r="A47" s="502"/>
      <c r="B47" s="66" t="s">
        <v>634</v>
      </c>
      <c r="C47" s="459">
        <v>110</v>
      </c>
      <c r="D47" s="459"/>
      <c r="E47" s="459">
        <v>20</v>
      </c>
      <c r="F47" s="66" t="s">
        <v>635</v>
      </c>
      <c r="G47" s="501"/>
      <c r="H47" s="276"/>
      <c r="I47" s="502"/>
      <c r="J47" s="66" t="s">
        <v>634</v>
      </c>
      <c r="K47" s="461" t="s">
        <v>297</v>
      </c>
      <c r="L47" s="461">
        <v>1</v>
      </c>
      <c r="M47" s="461"/>
      <c r="N47" s="66"/>
    </row>
    <row r="48" spans="1:14" ht="12.75">
      <c r="A48" s="502"/>
      <c r="B48" s="66" t="s">
        <v>636</v>
      </c>
      <c r="C48" s="459">
        <v>0.12</v>
      </c>
      <c r="D48" s="459">
        <v>0.09</v>
      </c>
      <c r="E48" s="459">
        <v>1</v>
      </c>
      <c r="F48" s="66" t="s">
        <v>637</v>
      </c>
      <c r="G48" s="501"/>
      <c r="H48" s="276"/>
      <c r="I48" s="502"/>
      <c r="J48" s="66" t="s">
        <v>636</v>
      </c>
      <c r="K48" s="461" t="s">
        <v>297</v>
      </c>
      <c r="L48" s="461"/>
      <c r="M48" s="461">
        <v>1</v>
      </c>
      <c r="N48" s="66"/>
    </row>
    <row r="49" spans="1:14" ht="12.75">
      <c r="A49" s="502"/>
      <c r="B49" s="66" t="s">
        <v>638</v>
      </c>
      <c r="C49" s="459">
        <v>1.3</v>
      </c>
      <c r="D49" s="459">
        <v>0.7</v>
      </c>
      <c r="E49" s="459">
        <v>1</v>
      </c>
      <c r="F49" s="66" t="s">
        <v>637</v>
      </c>
      <c r="G49" s="501"/>
      <c r="H49" s="276"/>
      <c r="I49" s="502"/>
      <c r="J49" s="66" t="s">
        <v>638</v>
      </c>
      <c r="K49" s="461">
        <v>5</v>
      </c>
      <c r="L49" s="461"/>
      <c r="M49" s="461">
        <v>1</v>
      </c>
      <c r="N49" s="66"/>
    </row>
    <row r="50" spans="1:14" ht="12.75">
      <c r="A50" s="502"/>
      <c r="B50" s="66" t="s">
        <v>639</v>
      </c>
      <c r="C50" s="459">
        <v>0.08</v>
      </c>
      <c r="D50" s="459">
        <v>0.04</v>
      </c>
      <c r="E50" s="459">
        <v>1</v>
      </c>
      <c r="F50" s="66" t="s">
        <v>637</v>
      </c>
      <c r="G50" s="501"/>
      <c r="H50" s="276"/>
      <c r="I50" s="502"/>
      <c r="J50" s="66" t="s">
        <v>639</v>
      </c>
      <c r="K50" s="461" t="s">
        <v>297</v>
      </c>
      <c r="L50" s="461"/>
      <c r="M50" s="461">
        <v>1</v>
      </c>
      <c r="N50" s="66"/>
    </row>
    <row r="51" spans="1:14" ht="12.75">
      <c r="A51" s="502"/>
      <c r="B51" s="66" t="s">
        <v>640</v>
      </c>
      <c r="C51" s="459">
        <v>0.23</v>
      </c>
      <c r="D51" s="459">
        <v>0.03</v>
      </c>
      <c r="E51" s="459">
        <v>1</v>
      </c>
      <c r="F51" s="66" t="s">
        <v>637</v>
      </c>
      <c r="G51" s="501"/>
      <c r="H51" s="276"/>
      <c r="I51" s="502"/>
      <c r="J51" s="66" t="s">
        <v>640</v>
      </c>
      <c r="K51" s="461" t="s">
        <v>297</v>
      </c>
      <c r="L51" s="461"/>
      <c r="M51" s="461">
        <v>1</v>
      </c>
      <c r="N51" s="66"/>
    </row>
    <row r="52" spans="1:14" ht="12.75">
      <c r="A52" s="502"/>
      <c r="B52" s="66" t="s">
        <v>641</v>
      </c>
      <c r="C52" s="459" t="s">
        <v>297</v>
      </c>
      <c r="D52" s="459"/>
      <c r="E52" s="459">
        <v>5</v>
      </c>
      <c r="F52" s="66" t="s">
        <v>393</v>
      </c>
      <c r="G52" s="501"/>
      <c r="H52" s="276"/>
      <c r="I52" s="502"/>
      <c r="J52" s="66" t="s">
        <v>641</v>
      </c>
      <c r="K52" s="461" t="s">
        <v>297</v>
      </c>
      <c r="L52" s="461"/>
      <c r="M52" s="461">
        <v>5</v>
      </c>
      <c r="N52" s="66"/>
    </row>
    <row r="53" spans="1:14" ht="12.75">
      <c r="A53" s="502"/>
      <c r="B53" s="66" t="s">
        <v>642</v>
      </c>
      <c r="C53" s="459">
        <v>9.1</v>
      </c>
      <c r="D53" s="459">
        <v>0.2</v>
      </c>
      <c r="E53" s="459">
        <v>5</v>
      </c>
      <c r="F53" s="66" t="s">
        <v>637</v>
      </c>
      <c r="G53" s="501"/>
      <c r="H53" s="276"/>
      <c r="I53" s="502"/>
      <c r="J53" s="66" t="s">
        <v>642</v>
      </c>
      <c r="K53" s="461" t="s">
        <v>297</v>
      </c>
      <c r="L53" s="461"/>
      <c r="M53" s="461">
        <v>5</v>
      </c>
      <c r="N53" s="66"/>
    </row>
    <row r="54" spans="1:14" ht="12.75">
      <c r="A54" s="502"/>
      <c r="B54" s="66" t="s">
        <v>643</v>
      </c>
      <c r="C54" s="459">
        <v>14</v>
      </c>
      <c r="D54" s="459">
        <v>0.5</v>
      </c>
      <c r="E54" s="459">
        <v>5</v>
      </c>
      <c r="F54" s="66" t="s">
        <v>637</v>
      </c>
      <c r="G54" s="501"/>
      <c r="H54" s="276"/>
      <c r="I54" s="502"/>
      <c r="J54" s="66" t="s">
        <v>643</v>
      </c>
      <c r="K54" s="461">
        <v>9.4</v>
      </c>
      <c r="L54" s="461"/>
      <c r="M54" s="461">
        <v>5</v>
      </c>
      <c r="N54" s="66"/>
    </row>
    <row r="55" spans="1:14" ht="12.75">
      <c r="A55" s="502"/>
      <c r="B55" s="66" t="s">
        <v>644</v>
      </c>
      <c r="C55" s="459">
        <v>10</v>
      </c>
      <c r="D55" s="459">
        <v>0.5</v>
      </c>
      <c r="E55" s="459">
        <v>1</v>
      </c>
      <c r="F55" s="66" t="s">
        <v>637</v>
      </c>
      <c r="G55" s="501"/>
      <c r="H55" s="276"/>
      <c r="I55" s="502"/>
      <c r="J55" s="66" t="s">
        <v>644</v>
      </c>
      <c r="K55" s="461">
        <v>8.4</v>
      </c>
      <c r="L55" s="461"/>
      <c r="M55" s="461">
        <v>1</v>
      </c>
      <c r="N55" s="66"/>
    </row>
    <row r="56" spans="1:14" ht="12.75">
      <c r="A56" s="502"/>
      <c r="B56" s="66" t="s">
        <v>645</v>
      </c>
      <c r="C56" s="459">
        <v>9.3</v>
      </c>
      <c r="D56" s="459">
        <v>0.46</v>
      </c>
      <c r="E56" s="459">
        <v>2</v>
      </c>
      <c r="F56" s="66" t="s">
        <v>637</v>
      </c>
      <c r="G56" s="501"/>
      <c r="H56" s="276"/>
      <c r="I56" s="502"/>
      <c r="J56" s="66" t="s">
        <v>645</v>
      </c>
      <c r="K56" s="461" t="s">
        <v>297</v>
      </c>
      <c r="L56" s="461"/>
      <c r="M56" s="461">
        <v>5</v>
      </c>
      <c r="N56" s="66"/>
    </row>
    <row r="57" spans="1:14" ht="12.75">
      <c r="A57" s="502"/>
      <c r="B57" s="66" t="s">
        <v>646</v>
      </c>
      <c r="C57" s="459">
        <v>0.86</v>
      </c>
      <c r="D57" s="459">
        <v>0.3</v>
      </c>
      <c r="E57" s="459">
        <v>1</v>
      </c>
      <c r="F57" s="66" t="s">
        <v>637</v>
      </c>
      <c r="G57" s="501"/>
      <c r="H57" s="276"/>
      <c r="I57" s="502"/>
      <c r="J57" s="66" t="s">
        <v>646</v>
      </c>
      <c r="K57" s="461" t="s">
        <v>297</v>
      </c>
      <c r="L57" s="461"/>
      <c r="M57" s="461">
        <v>1</v>
      </c>
      <c r="N57" s="66"/>
    </row>
    <row r="58" spans="1:14" ht="12.75">
      <c r="A58" s="502"/>
      <c r="B58" s="66" t="s">
        <v>209</v>
      </c>
      <c r="C58" s="459">
        <v>1.7</v>
      </c>
      <c r="D58" s="459">
        <v>0.3</v>
      </c>
      <c r="E58" s="459">
        <v>1</v>
      </c>
      <c r="F58" s="66" t="s">
        <v>637</v>
      </c>
      <c r="G58" s="501"/>
      <c r="H58" s="276"/>
      <c r="I58" s="502"/>
      <c r="J58" s="66" t="s">
        <v>209</v>
      </c>
      <c r="K58" s="461">
        <v>15</v>
      </c>
      <c r="L58" s="461"/>
      <c r="M58" s="461">
        <v>1</v>
      </c>
      <c r="N58" s="66"/>
    </row>
    <row r="59" spans="1:14" ht="12.75">
      <c r="A59" s="502"/>
      <c r="B59" s="66" t="s">
        <v>647</v>
      </c>
      <c r="C59" s="459">
        <v>0.2</v>
      </c>
      <c r="D59" s="459">
        <v>0.2</v>
      </c>
      <c r="E59" s="459">
        <v>1</v>
      </c>
      <c r="F59" s="66" t="s">
        <v>637</v>
      </c>
      <c r="G59" s="501"/>
      <c r="H59" s="276"/>
      <c r="I59" s="502"/>
      <c r="J59" s="66" t="s">
        <v>647</v>
      </c>
      <c r="K59" s="461" t="s">
        <v>297</v>
      </c>
      <c r="L59" s="461"/>
      <c r="M59" s="461">
        <v>1</v>
      </c>
      <c r="N59" s="66"/>
    </row>
    <row r="60" spans="1:14" ht="12.75">
      <c r="A60" s="502"/>
      <c r="B60" s="66" t="s">
        <v>648</v>
      </c>
      <c r="C60" s="459">
        <v>110</v>
      </c>
      <c r="D60" s="459">
        <v>90</v>
      </c>
      <c r="E60" s="459">
        <v>100</v>
      </c>
      <c r="F60" s="66" t="s">
        <v>637</v>
      </c>
      <c r="G60" s="501"/>
      <c r="H60" s="276"/>
      <c r="I60" s="502"/>
      <c r="J60" s="66" t="s">
        <v>648</v>
      </c>
      <c r="K60" s="461">
        <v>37</v>
      </c>
      <c r="L60" s="461"/>
      <c r="M60" s="461">
        <v>1</v>
      </c>
      <c r="N60" s="66"/>
    </row>
    <row r="61" spans="1:14" ht="12.75">
      <c r="A61" s="502"/>
      <c r="B61" s="66" t="s">
        <v>383</v>
      </c>
      <c r="C61" s="459" t="s">
        <v>297</v>
      </c>
      <c r="D61" s="459"/>
      <c r="E61" s="459">
        <v>0.51</v>
      </c>
      <c r="F61" s="66" t="s">
        <v>649</v>
      </c>
      <c r="G61" s="501"/>
      <c r="H61" s="276"/>
      <c r="I61" s="502"/>
      <c r="J61" s="66" t="s">
        <v>383</v>
      </c>
      <c r="K61" s="461" t="s">
        <v>297</v>
      </c>
      <c r="L61" s="461"/>
      <c r="M61" s="461">
        <v>0.5</v>
      </c>
      <c r="N61" s="66"/>
    </row>
    <row r="62" spans="1:14" ht="12.75">
      <c r="A62" s="502"/>
      <c r="B62" s="66" t="s">
        <v>385</v>
      </c>
      <c r="C62" s="459" t="s">
        <v>297</v>
      </c>
      <c r="D62" s="459"/>
      <c r="E62" s="459">
        <v>2</v>
      </c>
      <c r="F62" s="66" t="s">
        <v>649</v>
      </c>
      <c r="G62" s="501"/>
      <c r="H62" s="276"/>
      <c r="I62" s="502"/>
      <c r="J62" s="66" t="s">
        <v>385</v>
      </c>
      <c r="K62" s="461" t="s">
        <v>297</v>
      </c>
      <c r="L62" s="461"/>
      <c r="M62" s="461">
        <v>2</v>
      </c>
      <c r="N62" s="66"/>
    </row>
    <row r="63" spans="1:14" ht="12.75">
      <c r="A63" s="502"/>
      <c r="B63" s="66" t="s">
        <v>386</v>
      </c>
      <c r="C63" s="459" t="s">
        <v>297</v>
      </c>
      <c r="D63" s="459"/>
      <c r="E63" s="459">
        <v>0.51</v>
      </c>
      <c r="F63" s="66" t="s">
        <v>649</v>
      </c>
      <c r="G63" s="501"/>
      <c r="H63" s="276"/>
      <c r="I63" s="502"/>
      <c r="J63" s="66" t="s">
        <v>386</v>
      </c>
      <c r="K63" s="461" t="s">
        <v>297</v>
      </c>
      <c r="L63" s="461"/>
      <c r="M63" s="461">
        <v>0.5</v>
      </c>
      <c r="N63" s="66"/>
    </row>
    <row r="64" spans="1:14" ht="12.75">
      <c r="A64" s="502"/>
      <c r="B64" s="66" t="s">
        <v>387</v>
      </c>
      <c r="C64" s="459" t="s">
        <v>297</v>
      </c>
      <c r="D64" s="459"/>
      <c r="E64" s="459">
        <v>0.51</v>
      </c>
      <c r="F64" s="66" t="s">
        <v>649</v>
      </c>
      <c r="G64" s="501"/>
      <c r="H64" s="276"/>
      <c r="I64" s="502"/>
      <c r="J64" s="66" t="s">
        <v>387</v>
      </c>
      <c r="K64" s="461" t="s">
        <v>297</v>
      </c>
      <c r="L64" s="461"/>
      <c r="M64" s="461">
        <v>0.5</v>
      </c>
      <c r="N64" s="66"/>
    </row>
    <row r="65" spans="1:14" ht="12.75">
      <c r="A65" s="502"/>
      <c r="B65" s="66" t="s">
        <v>388</v>
      </c>
      <c r="C65" s="459" t="s">
        <v>297</v>
      </c>
      <c r="D65" s="459"/>
      <c r="E65" s="459">
        <v>0.51</v>
      </c>
      <c r="F65" s="66" t="s">
        <v>649</v>
      </c>
      <c r="G65" s="501"/>
      <c r="H65" s="276"/>
      <c r="I65" s="502"/>
      <c r="J65" s="66" t="s">
        <v>388</v>
      </c>
      <c r="K65" s="461" t="s">
        <v>297</v>
      </c>
      <c r="L65" s="461"/>
      <c r="M65" s="461">
        <v>0.5</v>
      </c>
      <c r="N65" s="66"/>
    </row>
    <row r="66" spans="1:14" ht="12.75">
      <c r="A66" s="502"/>
      <c r="B66" s="66" t="s">
        <v>389</v>
      </c>
      <c r="C66" s="459" t="s">
        <v>297</v>
      </c>
      <c r="D66" s="459"/>
      <c r="E66" s="459">
        <v>0.51</v>
      </c>
      <c r="F66" s="66" t="s">
        <v>649</v>
      </c>
      <c r="G66" s="501"/>
      <c r="H66" s="276"/>
      <c r="I66" s="502"/>
      <c r="J66" s="66" t="s">
        <v>389</v>
      </c>
      <c r="K66" s="461" t="s">
        <v>297</v>
      </c>
      <c r="L66" s="461"/>
      <c r="M66" s="461">
        <v>0.5</v>
      </c>
      <c r="N66" s="66"/>
    </row>
    <row r="67" spans="1:14" ht="12.75">
      <c r="A67" s="502"/>
      <c r="B67" s="66" t="s">
        <v>390</v>
      </c>
      <c r="C67" s="459" t="s">
        <v>297</v>
      </c>
      <c r="D67" s="459"/>
      <c r="E67" s="459">
        <v>0.51</v>
      </c>
      <c r="F67" s="66" t="s">
        <v>649</v>
      </c>
      <c r="G67" s="501"/>
      <c r="H67" s="276"/>
      <c r="I67" s="502"/>
      <c r="J67" s="66" t="s">
        <v>390</v>
      </c>
      <c r="K67" s="461" t="s">
        <v>297</v>
      </c>
      <c r="L67" s="461"/>
      <c r="M67" s="461">
        <v>0.5</v>
      </c>
      <c r="N67" s="66"/>
    </row>
    <row r="68" spans="1:14" ht="12.75">
      <c r="A68" s="502"/>
      <c r="B68" s="66" t="s">
        <v>650</v>
      </c>
      <c r="C68" s="459" t="s">
        <v>297</v>
      </c>
      <c r="D68" s="459"/>
      <c r="E68" s="459">
        <v>0.51</v>
      </c>
      <c r="F68" s="66" t="s">
        <v>649</v>
      </c>
      <c r="G68" s="501"/>
      <c r="H68" s="276"/>
      <c r="I68" s="502"/>
      <c r="J68" s="66" t="s">
        <v>650</v>
      </c>
      <c r="K68" s="461" t="s">
        <v>297</v>
      </c>
      <c r="L68" s="461"/>
      <c r="M68" s="461">
        <v>0.5</v>
      </c>
      <c r="N68" s="66"/>
    </row>
    <row r="69" spans="1:14" ht="12.75">
      <c r="A69" s="502"/>
      <c r="B69" s="66" t="s">
        <v>651</v>
      </c>
      <c r="C69" s="459" t="s">
        <v>297</v>
      </c>
      <c r="D69" s="459"/>
      <c r="E69" s="459">
        <v>0.5</v>
      </c>
      <c r="F69" s="66" t="s">
        <v>652</v>
      </c>
      <c r="G69" s="501"/>
      <c r="H69" s="276"/>
      <c r="I69" s="502"/>
      <c r="J69" s="66" t="s">
        <v>651</v>
      </c>
      <c r="K69" s="461" t="s">
        <v>297</v>
      </c>
      <c r="L69" s="461"/>
      <c r="M69" s="461">
        <v>0.5</v>
      </c>
      <c r="N69" s="66"/>
    </row>
    <row r="70" spans="1:14" ht="12.75">
      <c r="A70" s="502"/>
      <c r="B70" s="66" t="s">
        <v>653</v>
      </c>
      <c r="C70" s="459" t="s">
        <v>297</v>
      </c>
      <c r="D70" s="459"/>
      <c r="E70" s="459">
        <v>1</v>
      </c>
      <c r="F70" s="66" t="s">
        <v>652</v>
      </c>
      <c r="G70" s="501"/>
      <c r="H70" s="276"/>
      <c r="I70" s="502"/>
      <c r="J70" s="66" t="s">
        <v>653</v>
      </c>
      <c r="K70" s="461" t="s">
        <v>297</v>
      </c>
      <c r="L70" s="461"/>
      <c r="M70" s="461">
        <v>1</v>
      </c>
      <c r="N70" s="66"/>
    </row>
    <row r="71" spans="1:14" ht="12.75">
      <c r="A71" s="502"/>
      <c r="B71" s="66" t="s">
        <v>654</v>
      </c>
      <c r="C71" s="459" t="s">
        <v>297</v>
      </c>
      <c r="D71" s="459"/>
      <c r="E71" s="459">
        <v>0.05</v>
      </c>
      <c r="F71" s="66" t="s">
        <v>652</v>
      </c>
      <c r="G71" s="501"/>
      <c r="H71" s="276"/>
      <c r="I71" s="502"/>
      <c r="J71" s="66" t="s">
        <v>654</v>
      </c>
      <c r="K71" s="461" t="s">
        <v>297</v>
      </c>
      <c r="L71" s="461"/>
      <c r="M71" s="461">
        <v>0.05</v>
      </c>
      <c r="N71" s="66"/>
    </row>
    <row r="72" spans="1:14" ht="12.75">
      <c r="A72" s="502"/>
      <c r="B72" s="66" t="s">
        <v>655</v>
      </c>
      <c r="C72" s="459" t="s">
        <v>297</v>
      </c>
      <c r="D72" s="459"/>
      <c r="E72" s="459">
        <v>0.05</v>
      </c>
      <c r="F72" s="66" t="s">
        <v>652</v>
      </c>
      <c r="G72" s="501"/>
      <c r="H72" s="276"/>
      <c r="I72" s="502"/>
      <c r="J72" s="66" t="s">
        <v>655</v>
      </c>
      <c r="K72" s="461" t="s">
        <v>297</v>
      </c>
      <c r="L72" s="461"/>
      <c r="M72" s="461">
        <v>0.05</v>
      </c>
      <c r="N72" s="66"/>
    </row>
    <row r="73" spans="1:14" ht="12.75">
      <c r="A73" s="502"/>
      <c r="B73" s="66" t="s">
        <v>656</v>
      </c>
      <c r="C73" s="459" t="s">
        <v>297</v>
      </c>
      <c r="D73" s="459"/>
      <c r="E73" s="459">
        <v>0.05</v>
      </c>
      <c r="F73" s="66" t="s">
        <v>652</v>
      </c>
      <c r="G73" s="501"/>
      <c r="H73" s="276"/>
      <c r="I73" s="502"/>
      <c r="J73" s="66" t="s">
        <v>656</v>
      </c>
      <c r="K73" s="461" t="s">
        <v>297</v>
      </c>
      <c r="L73" s="461"/>
      <c r="M73" s="461">
        <v>0.05</v>
      </c>
      <c r="N73" s="66"/>
    </row>
    <row r="74" spans="1:14" ht="12.75">
      <c r="A74" s="502"/>
      <c r="B74" s="66" t="s">
        <v>499</v>
      </c>
      <c r="C74" s="459" t="s">
        <v>297</v>
      </c>
      <c r="D74" s="459"/>
      <c r="E74" s="459">
        <v>0.05</v>
      </c>
      <c r="F74" s="66" t="s">
        <v>652</v>
      </c>
      <c r="G74" s="501"/>
      <c r="H74" s="276"/>
      <c r="I74" s="502"/>
      <c r="J74" s="66" t="s">
        <v>499</v>
      </c>
      <c r="K74" s="461" t="s">
        <v>297</v>
      </c>
      <c r="L74" s="461"/>
      <c r="M74" s="461">
        <v>0.05</v>
      </c>
      <c r="N74" s="66"/>
    </row>
    <row r="75" spans="1:14" ht="12.75">
      <c r="A75" s="502"/>
      <c r="B75" s="66" t="s">
        <v>657</v>
      </c>
      <c r="C75" s="459" t="s">
        <v>297</v>
      </c>
      <c r="D75" s="459"/>
      <c r="E75" s="459">
        <v>0.1</v>
      </c>
      <c r="F75" s="66" t="s">
        <v>652</v>
      </c>
      <c r="G75" s="501"/>
      <c r="H75" s="276"/>
      <c r="I75" s="502"/>
      <c r="J75" s="66" t="s">
        <v>657</v>
      </c>
      <c r="K75" s="461" t="s">
        <v>297</v>
      </c>
      <c r="L75" s="461"/>
      <c r="M75" s="461">
        <v>0.1</v>
      </c>
      <c r="N75" s="66"/>
    </row>
    <row r="76" spans="1:14" ht="12.75">
      <c r="A76" s="502"/>
      <c r="B76" s="66" t="s">
        <v>658</v>
      </c>
      <c r="C76" s="459" t="s">
        <v>297</v>
      </c>
      <c r="D76" s="459"/>
      <c r="E76" s="459">
        <v>0.05</v>
      </c>
      <c r="F76" s="66" t="s">
        <v>652</v>
      </c>
      <c r="G76" s="501"/>
      <c r="H76" s="276"/>
      <c r="I76" s="502"/>
      <c r="J76" s="66" t="s">
        <v>658</v>
      </c>
      <c r="K76" s="461" t="s">
        <v>297</v>
      </c>
      <c r="L76" s="461"/>
      <c r="M76" s="461">
        <v>0.05</v>
      </c>
      <c r="N76" s="66"/>
    </row>
    <row r="77" spans="1:14" ht="12.75">
      <c r="A77" s="502"/>
      <c r="B77" s="66" t="s">
        <v>659</v>
      </c>
      <c r="C77" s="459" t="s">
        <v>297</v>
      </c>
      <c r="D77" s="459"/>
      <c r="E77" s="459">
        <v>0.05</v>
      </c>
      <c r="F77" s="66" t="s">
        <v>652</v>
      </c>
      <c r="G77" s="501"/>
      <c r="H77" s="276"/>
      <c r="I77" s="502"/>
      <c r="J77" s="66" t="s">
        <v>659</v>
      </c>
      <c r="K77" s="461" t="s">
        <v>297</v>
      </c>
      <c r="L77" s="461"/>
      <c r="M77" s="461">
        <v>0.05</v>
      </c>
      <c r="N77" s="66"/>
    </row>
    <row r="78" spans="1:14" ht="12.75">
      <c r="A78" s="502"/>
      <c r="B78" s="66" t="s">
        <v>660</v>
      </c>
      <c r="C78" s="459" t="s">
        <v>297</v>
      </c>
      <c r="D78" s="459"/>
      <c r="E78" s="459">
        <v>0.1</v>
      </c>
      <c r="F78" s="66" t="s">
        <v>652</v>
      </c>
      <c r="G78" s="501"/>
      <c r="H78" s="276"/>
      <c r="I78" s="502"/>
      <c r="J78" s="66" t="s">
        <v>660</v>
      </c>
      <c r="K78" s="461" t="s">
        <v>297</v>
      </c>
      <c r="L78" s="461"/>
      <c r="M78" s="461">
        <v>0.1</v>
      </c>
      <c r="N78" s="66"/>
    </row>
    <row r="79" spans="1:14" ht="12.75">
      <c r="A79" s="502"/>
      <c r="B79" s="66" t="s">
        <v>661</v>
      </c>
      <c r="C79" s="459" t="s">
        <v>297</v>
      </c>
      <c r="D79" s="459"/>
      <c r="E79" s="459">
        <v>0.05</v>
      </c>
      <c r="F79" s="66" t="s">
        <v>652</v>
      </c>
      <c r="G79" s="501"/>
      <c r="H79" s="276"/>
      <c r="I79" s="502"/>
      <c r="J79" s="66" t="s">
        <v>661</v>
      </c>
      <c r="K79" s="461" t="s">
        <v>297</v>
      </c>
      <c r="L79" s="461"/>
      <c r="M79" s="461">
        <v>0.05</v>
      </c>
      <c r="N79" s="66"/>
    </row>
    <row r="80" spans="1:14" ht="12.75">
      <c r="A80" s="502"/>
      <c r="B80" s="66" t="s">
        <v>661</v>
      </c>
      <c r="C80" s="459" t="s">
        <v>297</v>
      </c>
      <c r="D80" s="459"/>
      <c r="E80" s="459">
        <v>0.1</v>
      </c>
      <c r="F80" s="66" t="s">
        <v>652</v>
      </c>
      <c r="G80" s="501"/>
      <c r="H80" s="276"/>
      <c r="I80" s="502"/>
      <c r="J80" s="66" t="s">
        <v>661</v>
      </c>
      <c r="K80" s="461" t="s">
        <v>297</v>
      </c>
      <c r="L80" s="461"/>
      <c r="M80" s="461">
        <v>0.1</v>
      </c>
      <c r="N80" s="66"/>
    </row>
    <row r="81" spans="1:14" ht="12.75">
      <c r="A81" s="502"/>
      <c r="B81" s="66" t="s">
        <v>662</v>
      </c>
      <c r="C81" s="459" t="s">
        <v>297</v>
      </c>
      <c r="D81" s="459"/>
      <c r="E81" s="459">
        <v>0.05</v>
      </c>
      <c r="F81" s="66" t="s">
        <v>652</v>
      </c>
      <c r="G81" s="501"/>
      <c r="H81" s="276"/>
      <c r="I81" s="502"/>
      <c r="J81" s="66" t="s">
        <v>662</v>
      </c>
      <c r="K81" s="461" t="s">
        <v>297</v>
      </c>
      <c r="L81" s="461"/>
      <c r="M81" s="461">
        <v>0.05</v>
      </c>
      <c r="N81" s="66"/>
    </row>
    <row r="82" spans="1:14" ht="12.75">
      <c r="A82" s="502"/>
      <c r="B82" s="66" t="s">
        <v>663</v>
      </c>
      <c r="C82" s="459" t="s">
        <v>297</v>
      </c>
      <c r="D82" s="459"/>
      <c r="E82" s="459">
        <v>0.5</v>
      </c>
      <c r="F82" s="66" t="s">
        <v>652</v>
      </c>
      <c r="G82" s="501"/>
      <c r="H82" s="276"/>
      <c r="I82" s="502"/>
      <c r="J82" s="66" t="s">
        <v>663</v>
      </c>
      <c r="K82" s="461" t="s">
        <v>297</v>
      </c>
      <c r="L82" s="461"/>
      <c r="M82" s="461">
        <v>0.5</v>
      </c>
      <c r="N82" s="66"/>
    </row>
    <row r="83" spans="1:14" ht="12.75">
      <c r="A83" s="502"/>
      <c r="B83" s="66" t="s">
        <v>112</v>
      </c>
      <c r="C83" s="459" t="s">
        <v>297</v>
      </c>
      <c r="D83" s="459"/>
      <c r="E83" s="459">
        <v>0.05</v>
      </c>
      <c r="F83" s="66" t="s">
        <v>652</v>
      </c>
      <c r="G83" s="501"/>
      <c r="H83" s="276"/>
      <c r="I83" s="502"/>
      <c r="J83" s="66" t="s">
        <v>112</v>
      </c>
      <c r="K83" s="461" t="s">
        <v>297</v>
      </c>
      <c r="L83" s="461"/>
      <c r="M83" s="461">
        <v>0.05</v>
      </c>
      <c r="N83" s="66"/>
    </row>
    <row r="84" spans="1:14" ht="12.75">
      <c r="A84" s="502"/>
      <c r="B84" s="66" t="s">
        <v>664</v>
      </c>
      <c r="C84" s="459" t="s">
        <v>297</v>
      </c>
      <c r="D84" s="459"/>
      <c r="E84" s="459">
        <v>0.05</v>
      </c>
      <c r="F84" s="66" t="s">
        <v>652</v>
      </c>
      <c r="G84" s="501"/>
      <c r="H84" s="276"/>
      <c r="I84" s="502"/>
      <c r="J84" s="66" t="s">
        <v>664</v>
      </c>
      <c r="K84" s="461" t="s">
        <v>297</v>
      </c>
      <c r="L84" s="461"/>
      <c r="M84" s="461">
        <v>0.05</v>
      </c>
      <c r="N84" s="66"/>
    </row>
    <row r="85" spans="1:14" ht="12.75">
      <c r="A85" s="502"/>
      <c r="B85" s="66" t="s">
        <v>665</v>
      </c>
      <c r="C85" s="459" t="s">
        <v>297</v>
      </c>
      <c r="D85" s="459"/>
      <c r="E85" s="459">
        <v>5</v>
      </c>
      <c r="F85" s="66" t="s">
        <v>413</v>
      </c>
      <c r="G85" s="501"/>
      <c r="H85" s="276"/>
      <c r="I85" s="502"/>
      <c r="J85" s="66" t="s">
        <v>665</v>
      </c>
      <c r="K85" s="461" t="s">
        <v>297</v>
      </c>
      <c r="L85" s="461"/>
      <c r="M85" s="461">
        <v>5</v>
      </c>
      <c r="N85" s="66"/>
    </row>
    <row r="86" spans="1:14" ht="12.75">
      <c r="A86" s="502"/>
      <c r="B86" s="66" t="s">
        <v>666</v>
      </c>
      <c r="C86" s="459">
        <v>0.0328</v>
      </c>
      <c r="D86" s="459">
        <v>0.0002</v>
      </c>
      <c r="E86" s="459">
        <v>0.0005</v>
      </c>
      <c r="F86" s="66" t="s">
        <v>667</v>
      </c>
      <c r="G86" s="501"/>
      <c r="H86" s="276"/>
      <c r="I86" s="502"/>
      <c r="J86" s="66" t="s">
        <v>666</v>
      </c>
      <c r="K86" s="461">
        <v>0.0115</v>
      </c>
      <c r="L86" s="461">
        <v>0.0002</v>
      </c>
      <c r="M86" s="461">
        <v>0.0005</v>
      </c>
      <c r="N86" s="66"/>
    </row>
    <row r="87" spans="1:14" ht="12.75">
      <c r="A87" s="502">
        <v>110</v>
      </c>
      <c r="B87" s="66" t="s">
        <v>123</v>
      </c>
      <c r="C87" s="459" t="s">
        <v>297</v>
      </c>
      <c r="D87" s="459">
        <v>0.01</v>
      </c>
      <c r="E87" s="459">
        <v>0.02</v>
      </c>
      <c r="F87" s="66" t="s">
        <v>667</v>
      </c>
      <c r="G87" s="501"/>
      <c r="H87" s="276"/>
      <c r="I87" s="502"/>
      <c r="J87" s="66" t="s">
        <v>123</v>
      </c>
      <c r="K87" s="461" t="s">
        <v>297</v>
      </c>
      <c r="L87" s="461">
        <v>0.01</v>
      </c>
      <c r="M87" s="461">
        <v>0.02</v>
      </c>
      <c r="N87" s="66"/>
    </row>
    <row r="88" spans="1:14" ht="12.75">
      <c r="A88" s="502">
        <v>109</v>
      </c>
      <c r="B88" s="66" t="s">
        <v>479</v>
      </c>
      <c r="C88" s="459" t="s">
        <v>297</v>
      </c>
      <c r="D88" s="459">
        <v>0.005</v>
      </c>
      <c r="E88" s="459">
        <v>0.01</v>
      </c>
      <c r="F88" s="66" t="s">
        <v>667</v>
      </c>
      <c r="G88" s="501"/>
      <c r="H88" s="276"/>
      <c r="I88" s="502"/>
      <c r="J88" s="66" t="s">
        <v>479</v>
      </c>
      <c r="K88" s="461" t="s">
        <v>297</v>
      </c>
      <c r="L88" s="461">
        <v>0.005</v>
      </c>
      <c r="M88" s="461">
        <v>0.01</v>
      </c>
      <c r="N88" s="66"/>
    </row>
    <row r="89" spans="1:14" ht="12.75">
      <c r="A89" s="502">
        <v>108</v>
      </c>
      <c r="B89" s="66" t="s">
        <v>480</v>
      </c>
      <c r="C89" s="459" t="s">
        <v>297</v>
      </c>
      <c r="D89" s="459">
        <v>0.005</v>
      </c>
      <c r="E89" s="459">
        <v>0.01</v>
      </c>
      <c r="F89" s="66" t="s">
        <v>667</v>
      </c>
      <c r="G89" s="501"/>
      <c r="H89" s="276"/>
      <c r="I89" s="502"/>
      <c r="J89" s="66" t="s">
        <v>480</v>
      </c>
      <c r="K89" s="461" t="s">
        <v>297</v>
      </c>
      <c r="L89" s="461">
        <v>0.005</v>
      </c>
      <c r="M89" s="461">
        <v>0.01</v>
      </c>
      <c r="N89" s="66"/>
    </row>
    <row r="90" spans="1:14" ht="12.75">
      <c r="A90" s="502">
        <v>112</v>
      </c>
      <c r="B90" s="66" t="s">
        <v>380</v>
      </c>
      <c r="C90" s="459" t="s">
        <v>297</v>
      </c>
      <c r="D90" s="459">
        <v>0.005</v>
      </c>
      <c r="E90" s="459">
        <v>0.01</v>
      </c>
      <c r="F90" s="66" t="s">
        <v>667</v>
      </c>
      <c r="G90" s="501"/>
      <c r="H90" s="276"/>
      <c r="I90" s="502"/>
      <c r="J90" s="66" t="s">
        <v>380</v>
      </c>
      <c r="K90" s="461" t="s">
        <v>297</v>
      </c>
      <c r="L90" s="461">
        <v>0.005</v>
      </c>
      <c r="M90" s="461">
        <v>0.01</v>
      </c>
      <c r="N90" s="66"/>
    </row>
    <row r="91" spans="1:14" ht="12.75">
      <c r="A91" s="502">
        <v>103</v>
      </c>
      <c r="B91" s="66" t="s">
        <v>668</v>
      </c>
      <c r="C91" s="459" t="s">
        <v>297</v>
      </c>
      <c r="D91" s="459">
        <v>0.005</v>
      </c>
      <c r="E91" s="459">
        <v>0.01</v>
      </c>
      <c r="F91" s="66" t="s">
        <v>667</v>
      </c>
      <c r="G91" s="501"/>
      <c r="H91" s="276"/>
      <c r="I91" s="502"/>
      <c r="J91" s="66" t="s">
        <v>668</v>
      </c>
      <c r="K91" s="461" t="s">
        <v>297</v>
      </c>
      <c r="L91" s="461">
        <v>0.005</v>
      </c>
      <c r="M91" s="461">
        <v>0.01</v>
      </c>
      <c r="N91" s="66"/>
    </row>
    <row r="92" spans="1:14" ht="12.75">
      <c r="A92" s="502">
        <v>102</v>
      </c>
      <c r="B92" s="66" t="s">
        <v>669</v>
      </c>
      <c r="C92" s="459" t="s">
        <v>297</v>
      </c>
      <c r="D92" s="459">
        <v>0.002</v>
      </c>
      <c r="E92" s="459">
        <v>0.005</v>
      </c>
      <c r="F92" s="66" t="s">
        <v>667</v>
      </c>
      <c r="G92" s="501"/>
      <c r="H92" s="276"/>
      <c r="I92" s="502"/>
      <c r="J92" s="66" t="s">
        <v>669</v>
      </c>
      <c r="K92" s="461" t="s">
        <v>297</v>
      </c>
      <c r="L92" s="461">
        <v>0.002</v>
      </c>
      <c r="M92" s="461">
        <v>0.005</v>
      </c>
      <c r="N92" s="66"/>
    </row>
    <row r="93" spans="1:14" ht="12.75">
      <c r="A93" s="502">
        <v>113</v>
      </c>
      <c r="B93" s="66" t="s">
        <v>670</v>
      </c>
      <c r="C93" s="459" t="s">
        <v>297</v>
      </c>
      <c r="D93" s="459">
        <v>0.005</v>
      </c>
      <c r="E93" s="459">
        <v>0.01</v>
      </c>
      <c r="F93" s="66" t="s">
        <v>667</v>
      </c>
      <c r="G93" s="501"/>
      <c r="H93" s="276"/>
      <c r="I93" s="502"/>
      <c r="J93" s="66" t="s">
        <v>670</v>
      </c>
      <c r="K93" s="461" t="s">
        <v>297</v>
      </c>
      <c r="L93" s="461">
        <v>0.005</v>
      </c>
      <c r="M93" s="461">
        <v>0.01</v>
      </c>
      <c r="N93" s="66"/>
    </row>
    <row r="94" spans="1:14" ht="12.75">
      <c r="A94" s="502">
        <v>104</v>
      </c>
      <c r="B94" s="66" t="s">
        <v>671</v>
      </c>
      <c r="C94" s="459" t="s">
        <v>297</v>
      </c>
      <c r="D94" s="459">
        <v>0.002</v>
      </c>
      <c r="E94" s="459">
        <v>0.005</v>
      </c>
      <c r="F94" s="66" t="s">
        <v>667</v>
      </c>
      <c r="G94" s="501"/>
      <c r="H94" s="276"/>
      <c r="I94" s="502"/>
      <c r="J94" s="66" t="s">
        <v>671</v>
      </c>
      <c r="K94" s="461" t="s">
        <v>297</v>
      </c>
      <c r="L94" s="461">
        <v>0.002</v>
      </c>
      <c r="M94" s="461">
        <v>0.005</v>
      </c>
      <c r="N94" s="66"/>
    </row>
    <row r="95" spans="1:14" ht="12.75">
      <c r="A95" s="502">
        <v>107</v>
      </c>
      <c r="B95" s="66" t="s">
        <v>672</v>
      </c>
      <c r="C95" s="459" t="s">
        <v>297</v>
      </c>
      <c r="D95" s="459">
        <v>0.01</v>
      </c>
      <c r="E95" s="459">
        <v>0.05</v>
      </c>
      <c r="F95" s="66" t="s">
        <v>667</v>
      </c>
      <c r="G95" s="501"/>
      <c r="H95" s="276"/>
      <c r="I95" s="502"/>
      <c r="J95" s="66" t="s">
        <v>672</v>
      </c>
      <c r="K95" s="461" t="s">
        <v>297</v>
      </c>
      <c r="L95" s="461">
        <v>0.01</v>
      </c>
      <c r="M95" s="461">
        <v>0.05</v>
      </c>
      <c r="N95" s="66"/>
    </row>
    <row r="96" spans="1:14" ht="12.75">
      <c r="A96" s="502">
        <v>106</v>
      </c>
      <c r="B96" s="66" t="s">
        <v>673</v>
      </c>
      <c r="C96" s="459" t="s">
        <v>297</v>
      </c>
      <c r="D96" s="459">
        <v>0.002</v>
      </c>
      <c r="E96" s="459">
        <v>0.005</v>
      </c>
      <c r="F96" s="66" t="s">
        <v>667</v>
      </c>
      <c r="G96" s="501"/>
      <c r="H96" s="276"/>
      <c r="I96" s="502"/>
      <c r="J96" s="66" t="s">
        <v>673</v>
      </c>
      <c r="K96" s="461" t="s">
        <v>297</v>
      </c>
      <c r="L96" s="461">
        <v>0.002</v>
      </c>
      <c r="M96" s="461">
        <v>0.005</v>
      </c>
      <c r="N96" s="66"/>
    </row>
    <row r="97" spans="1:14" ht="12.75">
      <c r="A97" s="502">
        <v>111</v>
      </c>
      <c r="B97" s="66" t="s">
        <v>674</v>
      </c>
      <c r="C97" s="459" t="s">
        <v>297</v>
      </c>
      <c r="D97" s="459">
        <v>0.005</v>
      </c>
      <c r="E97" s="459">
        <v>0.01</v>
      </c>
      <c r="F97" s="66" t="s">
        <v>667</v>
      </c>
      <c r="G97" s="501"/>
      <c r="H97" s="276"/>
      <c r="I97" s="502"/>
      <c r="J97" s="66" t="s">
        <v>674</v>
      </c>
      <c r="K97" s="461" t="s">
        <v>297</v>
      </c>
      <c r="L97" s="461">
        <v>0.005</v>
      </c>
      <c r="M97" s="461">
        <v>0.01</v>
      </c>
      <c r="N97" s="66"/>
    </row>
    <row r="98" spans="1:14" ht="12.75">
      <c r="A98" s="502">
        <v>114</v>
      </c>
      <c r="B98" s="66" t="s">
        <v>675</v>
      </c>
      <c r="C98" s="459" t="s">
        <v>297</v>
      </c>
      <c r="D98" s="459">
        <v>0.01</v>
      </c>
      <c r="E98" s="459">
        <v>0.02</v>
      </c>
      <c r="F98" s="66" t="s">
        <v>667</v>
      </c>
      <c r="G98" s="501"/>
      <c r="H98" s="276"/>
      <c r="I98" s="502"/>
      <c r="J98" s="66" t="s">
        <v>675</v>
      </c>
      <c r="K98" s="461" t="s">
        <v>297</v>
      </c>
      <c r="L98" s="461">
        <v>0.01</v>
      </c>
      <c r="M98" s="461">
        <v>0.02</v>
      </c>
      <c r="N98" s="66"/>
    </row>
    <row r="99" spans="1:14" ht="12.75">
      <c r="A99" s="502">
        <v>115</v>
      </c>
      <c r="B99" s="66" t="s">
        <v>676</v>
      </c>
      <c r="C99" s="459" t="s">
        <v>297</v>
      </c>
      <c r="D99" s="459">
        <v>0.005</v>
      </c>
      <c r="E99" s="459">
        <v>0.01</v>
      </c>
      <c r="F99" s="66" t="s">
        <v>667</v>
      </c>
      <c r="G99" s="501"/>
      <c r="H99" s="276"/>
      <c r="I99" s="502"/>
      <c r="J99" s="66" t="s">
        <v>676</v>
      </c>
      <c r="K99" s="461" t="s">
        <v>297</v>
      </c>
      <c r="L99" s="461">
        <v>0.005</v>
      </c>
      <c r="M99" s="461">
        <v>0.01</v>
      </c>
      <c r="N99" s="66"/>
    </row>
    <row r="100" spans="1:14" ht="12.75">
      <c r="A100" s="502">
        <v>116</v>
      </c>
      <c r="B100" s="66" t="s">
        <v>677</v>
      </c>
      <c r="C100" s="459" t="s">
        <v>297</v>
      </c>
      <c r="D100" s="459">
        <v>0.005</v>
      </c>
      <c r="E100" s="459">
        <v>0.01</v>
      </c>
      <c r="F100" s="66" t="s">
        <v>667</v>
      </c>
      <c r="G100" s="501"/>
      <c r="H100" s="276"/>
      <c r="I100" s="502"/>
      <c r="J100" s="66" t="s">
        <v>677</v>
      </c>
      <c r="K100" s="461" t="s">
        <v>297</v>
      </c>
      <c r="L100" s="461">
        <v>0.005</v>
      </c>
      <c r="M100" s="461">
        <v>0.01</v>
      </c>
      <c r="N100" s="66"/>
    </row>
    <row r="101" spans="1:14" ht="12.75">
      <c r="A101" s="502">
        <v>117</v>
      </c>
      <c r="B101" s="66" t="s">
        <v>678</v>
      </c>
      <c r="C101" s="459" t="s">
        <v>297</v>
      </c>
      <c r="D101" s="459">
        <v>0.005</v>
      </c>
      <c r="E101" s="459">
        <v>0.01</v>
      </c>
      <c r="F101" s="66" t="s">
        <v>667</v>
      </c>
      <c r="G101" s="501"/>
      <c r="H101" s="276"/>
      <c r="I101" s="502"/>
      <c r="J101" s="66" t="s">
        <v>678</v>
      </c>
      <c r="K101" s="461" t="s">
        <v>297</v>
      </c>
      <c r="L101" s="461">
        <v>0.005</v>
      </c>
      <c r="M101" s="461">
        <v>0.01</v>
      </c>
      <c r="N101" s="66"/>
    </row>
    <row r="102" spans="1:14" ht="12.75">
      <c r="A102" s="502">
        <v>118</v>
      </c>
      <c r="B102" s="66" t="s">
        <v>679</v>
      </c>
      <c r="C102" s="459" t="s">
        <v>297</v>
      </c>
      <c r="D102" s="459">
        <v>0.005</v>
      </c>
      <c r="E102" s="459">
        <v>0.01</v>
      </c>
      <c r="F102" s="66" t="s">
        <v>667</v>
      </c>
      <c r="G102" s="501"/>
      <c r="H102" s="276"/>
      <c r="I102" s="502"/>
      <c r="J102" s="66" t="s">
        <v>679</v>
      </c>
      <c r="K102" s="461" t="s">
        <v>297</v>
      </c>
      <c r="L102" s="461">
        <v>0.005</v>
      </c>
      <c r="M102" s="461">
        <v>0.01</v>
      </c>
      <c r="N102" s="66"/>
    </row>
    <row r="103" spans="1:14" ht="12.75">
      <c r="A103" s="502">
        <v>105</v>
      </c>
      <c r="B103" s="66" t="s">
        <v>680</v>
      </c>
      <c r="C103" s="459" t="s">
        <v>297</v>
      </c>
      <c r="D103" s="459">
        <v>0.005</v>
      </c>
      <c r="E103" s="459">
        <v>0.01</v>
      </c>
      <c r="F103" s="66" t="s">
        <v>667</v>
      </c>
      <c r="G103" s="501"/>
      <c r="H103" s="276"/>
      <c r="I103" s="502"/>
      <c r="J103" s="66" t="s">
        <v>680</v>
      </c>
      <c r="K103" s="461" t="s">
        <v>297</v>
      </c>
      <c r="L103" s="461">
        <v>0.005</v>
      </c>
      <c r="M103" s="461">
        <v>0.01</v>
      </c>
      <c r="N103" s="66"/>
    </row>
    <row r="104" spans="1:14" ht="12.75">
      <c r="A104" s="502">
        <v>119</v>
      </c>
      <c r="B104" s="66" t="s">
        <v>383</v>
      </c>
      <c r="C104" s="459" t="s">
        <v>297</v>
      </c>
      <c r="D104" s="459">
        <v>0.1</v>
      </c>
      <c r="E104" s="459">
        <v>0.5</v>
      </c>
      <c r="F104" s="66" t="s">
        <v>667</v>
      </c>
      <c r="G104" s="501"/>
      <c r="H104" s="276"/>
      <c r="I104" s="502"/>
      <c r="J104" s="66" t="s">
        <v>383</v>
      </c>
      <c r="K104" s="461" t="s">
        <v>297</v>
      </c>
      <c r="L104" s="461">
        <v>0.1</v>
      </c>
      <c r="M104" s="461">
        <v>0.5</v>
      </c>
      <c r="N104" s="66"/>
    </row>
    <row r="105" spans="1:14" ht="12.75">
      <c r="A105" s="502">
        <v>120</v>
      </c>
      <c r="B105" s="66" t="s">
        <v>385</v>
      </c>
      <c r="C105" s="459" t="s">
        <v>297</v>
      </c>
      <c r="D105" s="459">
        <v>0.1</v>
      </c>
      <c r="E105" s="459">
        <v>0.5</v>
      </c>
      <c r="F105" s="66" t="s">
        <v>667</v>
      </c>
      <c r="G105" s="501"/>
      <c r="H105" s="276"/>
      <c r="I105" s="502"/>
      <c r="J105" s="66" t="s">
        <v>385</v>
      </c>
      <c r="K105" s="461" t="s">
        <v>297</v>
      </c>
      <c r="L105" s="461">
        <v>0.1</v>
      </c>
      <c r="M105" s="461">
        <v>0.5</v>
      </c>
      <c r="N105" s="66"/>
    </row>
    <row r="106" spans="1:14" ht="12.75">
      <c r="A106" s="502">
        <v>121</v>
      </c>
      <c r="B106" s="66" t="s">
        <v>386</v>
      </c>
      <c r="C106" s="459" t="s">
        <v>297</v>
      </c>
      <c r="D106" s="459">
        <v>0.1</v>
      </c>
      <c r="E106" s="459">
        <v>0.5</v>
      </c>
      <c r="F106" s="66" t="s">
        <v>667</v>
      </c>
      <c r="G106" s="501"/>
      <c r="H106" s="276"/>
      <c r="I106" s="502"/>
      <c r="J106" s="66" t="s">
        <v>386</v>
      </c>
      <c r="K106" s="461" t="s">
        <v>297</v>
      </c>
      <c r="L106" s="461">
        <v>0.1</v>
      </c>
      <c r="M106" s="461">
        <v>0.5</v>
      </c>
      <c r="N106" s="66"/>
    </row>
    <row r="107" spans="1:14" ht="12.75">
      <c r="A107" s="502">
        <v>122</v>
      </c>
      <c r="B107" s="66" t="s">
        <v>387</v>
      </c>
      <c r="C107" s="459" t="s">
        <v>297</v>
      </c>
      <c r="D107" s="459">
        <v>0.1</v>
      </c>
      <c r="E107" s="459">
        <v>0.5</v>
      </c>
      <c r="F107" s="66" t="s">
        <v>667</v>
      </c>
      <c r="G107" s="501"/>
      <c r="H107" s="276"/>
      <c r="I107" s="502"/>
      <c r="J107" s="66" t="s">
        <v>387</v>
      </c>
      <c r="K107" s="461" t="s">
        <v>297</v>
      </c>
      <c r="L107" s="461">
        <v>0.1</v>
      </c>
      <c r="M107" s="461">
        <v>0.5</v>
      </c>
      <c r="N107" s="66"/>
    </row>
    <row r="108" spans="1:14" ht="12.75">
      <c r="A108" s="502">
        <v>123</v>
      </c>
      <c r="B108" s="66" t="s">
        <v>388</v>
      </c>
      <c r="C108" s="459" t="s">
        <v>297</v>
      </c>
      <c r="D108" s="459">
        <v>0.1</v>
      </c>
      <c r="E108" s="459">
        <v>0.5</v>
      </c>
      <c r="F108" s="66" t="s">
        <v>667</v>
      </c>
      <c r="G108" s="501"/>
      <c r="H108" s="276"/>
      <c r="I108" s="502"/>
      <c r="J108" s="66" t="s">
        <v>388</v>
      </c>
      <c r="K108" s="461" t="s">
        <v>297</v>
      </c>
      <c r="L108" s="461">
        <v>0.1</v>
      </c>
      <c r="M108" s="461">
        <v>0.5</v>
      </c>
      <c r="N108" s="66"/>
    </row>
    <row r="109" spans="1:14" ht="12.75">
      <c r="A109" s="502">
        <v>124</v>
      </c>
      <c r="B109" s="66" t="s">
        <v>389</v>
      </c>
      <c r="C109" s="459" t="s">
        <v>297</v>
      </c>
      <c r="D109" s="459">
        <v>0.1</v>
      </c>
      <c r="E109" s="459">
        <v>0.5</v>
      </c>
      <c r="F109" s="66" t="s">
        <v>667</v>
      </c>
      <c r="G109" s="501"/>
      <c r="H109" s="276"/>
      <c r="I109" s="502"/>
      <c r="J109" s="66" t="s">
        <v>389</v>
      </c>
      <c r="K109" s="461" t="s">
        <v>297</v>
      </c>
      <c r="L109" s="461">
        <v>0.1</v>
      </c>
      <c r="M109" s="461">
        <v>0.5</v>
      </c>
      <c r="N109" s="66"/>
    </row>
    <row r="110" spans="1:14" ht="12.75">
      <c r="A110" s="502">
        <v>125</v>
      </c>
      <c r="B110" s="66" t="s">
        <v>390</v>
      </c>
      <c r="C110" s="459" t="s">
        <v>297</v>
      </c>
      <c r="D110" s="459">
        <v>0.1</v>
      </c>
      <c r="E110" s="459">
        <v>0.5</v>
      </c>
      <c r="F110" s="66" t="s">
        <v>667</v>
      </c>
      <c r="G110" s="501"/>
      <c r="H110" s="276"/>
      <c r="I110" s="502"/>
      <c r="J110" s="66" t="s">
        <v>390</v>
      </c>
      <c r="K110" s="461" t="s">
        <v>297</v>
      </c>
      <c r="L110" s="461">
        <v>0.1</v>
      </c>
      <c r="M110" s="461">
        <v>0.5</v>
      </c>
      <c r="N110" s="66"/>
    </row>
    <row r="111" spans="1:14" ht="12.75">
      <c r="A111" s="502">
        <v>126</v>
      </c>
      <c r="B111" s="66" t="s">
        <v>132</v>
      </c>
      <c r="C111" s="459" t="s">
        <v>297</v>
      </c>
      <c r="D111" s="459">
        <v>0.1</v>
      </c>
      <c r="E111" s="459">
        <v>0.5</v>
      </c>
      <c r="F111" s="66" t="s">
        <v>667</v>
      </c>
      <c r="G111" s="501"/>
      <c r="H111" s="276"/>
      <c r="I111" s="502"/>
      <c r="J111" s="66" t="s">
        <v>132</v>
      </c>
      <c r="K111" s="461" t="s">
        <v>297</v>
      </c>
      <c r="L111" s="461">
        <v>0.1</v>
      </c>
      <c r="M111" s="461">
        <v>0.5</v>
      </c>
      <c r="N111" s="66"/>
    </row>
    <row r="112" spans="1:14" ht="12.75">
      <c r="A112" s="502"/>
      <c r="B112" s="66" t="s">
        <v>411</v>
      </c>
      <c r="C112" s="459" t="s">
        <v>297</v>
      </c>
      <c r="D112" s="459">
        <v>0.005</v>
      </c>
      <c r="E112" s="459">
        <v>0.01</v>
      </c>
      <c r="F112" s="463" t="s">
        <v>667</v>
      </c>
      <c r="G112" s="501"/>
      <c r="H112" s="276"/>
      <c r="I112" s="503"/>
      <c r="J112" s="66" t="s">
        <v>411</v>
      </c>
      <c r="K112" s="461" t="s">
        <v>297</v>
      </c>
      <c r="L112" s="461">
        <v>0.005</v>
      </c>
      <c r="M112" s="461">
        <v>0.01</v>
      </c>
      <c r="N112" s="66"/>
    </row>
    <row r="113" spans="1:14" ht="12.75">
      <c r="A113" s="502">
        <v>85</v>
      </c>
      <c r="B113" s="66" t="s">
        <v>681</v>
      </c>
      <c r="C113" s="459" t="s">
        <v>297</v>
      </c>
      <c r="D113" s="459">
        <v>0.5</v>
      </c>
      <c r="E113" s="459">
        <v>1</v>
      </c>
      <c r="F113" s="66"/>
      <c r="G113" s="501"/>
      <c r="H113" s="276"/>
      <c r="I113" s="502"/>
      <c r="J113" s="66" t="s">
        <v>682</v>
      </c>
      <c r="K113" s="461" t="s">
        <v>297</v>
      </c>
      <c r="L113" s="461">
        <v>0.5</v>
      </c>
      <c r="M113" s="459">
        <v>1</v>
      </c>
      <c r="N113" s="66"/>
    </row>
    <row r="114" spans="1:14" ht="12.75">
      <c r="A114" s="502">
        <v>45</v>
      </c>
      <c r="B114" s="66" t="s">
        <v>683</v>
      </c>
      <c r="C114" s="459" t="s">
        <v>297</v>
      </c>
      <c r="D114" s="459">
        <v>0.8</v>
      </c>
      <c r="E114" s="459">
        <v>1</v>
      </c>
      <c r="F114" s="66"/>
      <c r="G114" s="501"/>
      <c r="H114" s="276"/>
      <c r="I114" s="502"/>
      <c r="J114" s="66" t="s">
        <v>683</v>
      </c>
      <c r="K114" s="461" t="s">
        <v>297</v>
      </c>
      <c r="L114" s="461">
        <v>0.8</v>
      </c>
      <c r="M114" s="459">
        <v>1</v>
      </c>
      <c r="N114" s="66"/>
    </row>
    <row r="115" spans="1:14" ht="12.75">
      <c r="A115" s="502">
        <v>46</v>
      </c>
      <c r="B115" s="66" t="s">
        <v>684</v>
      </c>
      <c r="C115" s="459" t="s">
        <v>297</v>
      </c>
      <c r="D115" s="459">
        <v>0.6</v>
      </c>
      <c r="E115" s="459">
        <v>1</v>
      </c>
      <c r="F115" s="66"/>
      <c r="G115" s="501"/>
      <c r="H115" s="276"/>
      <c r="I115" s="502"/>
      <c r="J115" s="66" t="s">
        <v>684</v>
      </c>
      <c r="K115" s="461" t="s">
        <v>297</v>
      </c>
      <c r="L115" s="461">
        <v>0.6</v>
      </c>
      <c r="M115" s="459">
        <v>1</v>
      </c>
      <c r="N115" s="66"/>
    </row>
    <row r="116" spans="1:14" ht="12.75">
      <c r="A116" s="502">
        <v>47</v>
      </c>
      <c r="B116" s="66" t="s">
        <v>685</v>
      </c>
      <c r="C116" s="459" t="s">
        <v>297</v>
      </c>
      <c r="D116" s="459">
        <v>1</v>
      </c>
      <c r="E116" s="459">
        <v>2</v>
      </c>
      <c r="F116" s="66"/>
      <c r="G116" s="501"/>
      <c r="H116" s="276"/>
      <c r="I116" s="502"/>
      <c r="J116" s="66" t="s">
        <v>685</v>
      </c>
      <c r="K116" s="461" t="s">
        <v>297</v>
      </c>
      <c r="L116" s="461">
        <v>1</v>
      </c>
      <c r="M116" s="459">
        <v>2</v>
      </c>
      <c r="N116" s="66"/>
    </row>
    <row r="117" spans="1:14" ht="12.75">
      <c r="A117" s="502">
        <v>49</v>
      </c>
      <c r="B117" s="66" t="s">
        <v>686</v>
      </c>
      <c r="C117" s="459" t="s">
        <v>297</v>
      </c>
      <c r="D117" s="459">
        <v>2</v>
      </c>
      <c r="E117" s="459">
        <v>5</v>
      </c>
      <c r="F117" s="66"/>
      <c r="G117" s="501"/>
      <c r="H117" s="276"/>
      <c r="I117" s="502"/>
      <c r="J117" s="66" t="s">
        <v>686</v>
      </c>
      <c r="K117" s="461" t="s">
        <v>297</v>
      </c>
      <c r="L117" s="461">
        <v>2</v>
      </c>
      <c r="M117" s="459">
        <v>5</v>
      </c>
      <c r="N117" s="66"/>
    </row>
    <row r="118" spans="1:14" ht="12.75">
      <c r="A118" s="502">
        <v>82</v>
      </c>
      <c r="B118" s="66" t="s">
        <v>687</v>
      </c>
      <c r="C118" s="459" t="s">
        <v>297</v>
      </c>
      <c r="D118" s="459">
        <v>1</v>
      </c>
      <c r="E118" s="459">
        <v>5</v>
      </c>
      <c r="F118" s="66"/>
      <c r="G118" s="501"/>
      <c r="H118" s="276"/>
      <c r="I118" s="502"/>
      <c r="J118" s="66" t="s">
        <v>687</v>
      </c>
      <c r="K118" s="461" t="s">
        <v>297</v>
      </c>
      <c r="L118" s="461">
        <v>1</v>
      </c>
      <c r="M118" s="459">
        <v>5</v>
      </c>
      <c r="N118" s="66"/>
    </row>
    <row r="119" spans="1:14" ht="12.75">
      <c r="A119" s="502">
        <v>55</v>
      </c>
      <c r="B119" s="66" t="s">
        <v>688</v>
      </c>
      <c r="C119" s="459" t="s">
        <v>297</v>
      </c>
      <c r="D119" s="459">
        <v>1</v>
      </c>
      <c r="E119" s="459">
        <v>5</v>
      </c>
      <c r="F119" s="66"/>
      <c r="G119" s="501"/>
      <c r="H119" s="276"/>
      <c r="I119" s="502"/>
      <c r="J119" s="66" t="s">
        <v>688</v>
      </c>
      <c r="K119" s="461" t="s">
        <v>297</v>
      </c>
      <c r="L119" s="461">
        <v>1</v>
      </c>
      <c r="M119" s="459">
        <v>5</v>
      </c>
      <c r="N119" s="66"/>
    </row>
    <row r="120" spans="1:14" ht="12.75">
      <c r="A120" s="502">
        <v>83</v>
      </c>
      <c r="B120" s="66" t="s">
        <v>689</v>
      </c>
      <c r="C120" s="459" t="s">
        <v>297</v>
      </c>
      <c r="D120" s="459">
        <v>1</v>
      </c>
      <c r="E120" s="459">
        <v>5</v>
      </c>
      <c r="F120" s="66"/>
      <c r="G120" s="501"/>
      <c r="H120" s="276"/>
      <c r="I120" s="502"/>
      <c r="J120" s="66" t="s">
        <v>689</v>
      </c>
      <c r="K120" s="461" t="s">
        <v>297</v>
      </c>
      <c r="L120" s="461">
        <v>1</v>
      </c>
      <c r="M120" s="459">
        <v>5</v>
      </c>
      <c r="N120" s="66"/>
    </row>
    <row r="121" spans="1:14" ht="12.75">
      <c r="A121" s="502">
        <v>50</v>
      </c>
      <c r="B121" s="66" t="s">
        <v>690</v>
      </c>
      <c r="C121" s="459" t="s">
        <v>297</v>
      </c>
      <c r="D121" s="459">
        <v>1</v>
      </c>
      <c r="E121" s="459">
        <v>5</v>
      </c>
      <c r="F121" s="66"/>
      <c r="G121" s="501"/>
      <c r="H121" s="276"/>
      <c r="I121" s="502"/>
      <c r="J121" s="66" t="s">
        <v>690</v>
      </c>
      <c r="K121" s="461" t="s">
        <v>297</v>
      </c>
      <c r="L121" s="461">
        <v>1</v>
      </c>
      <c r="M121" s="459">
        <v>5</v>
      </c>
      <c r="N121" s="66"/>
    </row>
    <row r="122" spans="1:14" ht="12.75">
      <c r="A122" s="502">
        <v>71</v>
      </c>
      <c r="B122" s="66" t="s">
        <v>691</v>
      </c>
      <c r="C122" s="459" t="s">
        <v>297</v>
      </c>
      <c r="D122" s="459">
        <v>1</v>
      </c>
      <c r="E122" s="459">
        <v>2</v>
      </c>
      <c r="F122" s="66"/>
      <c r="G122" s="501"/>
      <c r="H122" s="276"/>
      <c r="I122" s="502"/>
      <c r="J122" s="66" t="s">
        <v>691</v>
      </c>
      <c r="K122" s="461" t="s">
        <v>297</v>
      </c>
      <c r="L122" s="461">
        <v>1</v>
      </c>
      <c r="M122" s="459">
        <v>2</v>
      </c>
      <c r="N122" s="66"/>
    </row>
    <row r="123" spans="1:14" ht="12.75">
      <c r="A123" s="502">
        <v>78</v>
      </c>
      <c r="B123" s="66" t="s">
        <v>692</v>
      </c>
      <c r="C123" s="459" t="s">
        <v>297</v>
      </c>
      <c r="D123" s="459">
        <v>1</v>
      </c>
      <c r="E123" s="459">
        <v>5</v>
      </c>
      <c r="F123" s="66"/>
      <c r="G123" s="501"/>
      <c r="H123" s="276"/>
      <c r="I123" s="502"/>
      <c r="J123" s="66" t="s">
        <v>692</v>
      </c>
      <c r="K123" s="461" t="s">
        <v>297</v>
      </c>
      <c r="L123" s="461">
        <v>1</v>
      </c>
      <c r="M123" s="459">
        <v>5</v>
      </c>
      <c r="N123" s="66"/>
    </row>
    <row r="124" spans="1:14" ht="12.75">
      <c r="A124" s="502">
        <v>52</v>
      </c>
      <c r="B124" s="66" t="s">
        <v>693</v>
      </c>
      <c r="C124" s="459" t="s">
        <v>297</v>
      </c>
      <c r="D124" s="459">
        <v>0.5</v>
      </c>
      <c r="E124" s="459">
        <v>1</v>
      </c>
      <c r="F124" s="66"/>
      <c r="G124" s="501"/>
      <c r="H124" s="276"/>
      <c r="I124" s="502"/>
      <c r="J124" s="66" t="s">
        <v>693</v>
      </c>
      <c r="K124" s="461" t="s">
        <v>297</v>
      </c>
      <c r="L124" s="461">
        <v>0.5</v>
      </c>
      <c r="M124" s="459">
        <v>1</v>
      </c>
      <c r="N124" s="66"/>
    </row>
    <row r="125" spans="1:14" ht="12.75">
      <c r="A125" s="502">
        <v>48</v>
      </c>
      <c r="B125" s="66" t="s">
        <v>694</v>
      </c>
      <c r="C125" s="459" t="s">
        <v>297</v>
      </c>
      <c r="D125" s="459">
        <v>1</v>
      </c>
      <c r="E125" s="459">
        <v>5</v>
      </c>
      <c r="F125" s="66"/>
      <c r="G125" s="501"/>
      <c r="H125" s="276"/>
      <c r="I125" s="502"/>
      <c r="J125" s="66" t="s">
        <v>694</v>
      </c>
      <c r="K125" s="461" t="s">
        <v>297</v>
      </c>
      <c r="L125" s="461">
        <v>1</v>
      </c>
      <c r="M125" s="459">
        <v>5</v>
      </c>
      <c r="N125" s="66"/>
    </row>
    <row r="126" spans="1:14" ht="12.75">
      <c r="A126" s="502">
        <v>51</v>
      </c>
      <c r="B126" s="66" t="s">
        <v>695</v>
      </c>
      <c r="C126" s="459" t="s">
        <v>297</v>
      </c>
      <c r="D126" s="459">
        <v>2</v>
      </c>
      <c r="E126" s="459">
        <v>5</v>
      </c>
      <c r="F126" s="66"/>
      <c r="G126" s="501"/>
      <c r="H126" s="276"/>
      <c r="I126" s="502"/>
      <c r="J126" s="66" t="s">
        <v>695</v>
      </c>
      <c r="K126" s="461" t="s">
        <v>297</v>
      </c>
      <c r="L126" s="461">
        <v>2</v>
      </c>
      <c r="M126" s="459">
        <v>5</v>
      </c>
      <c r="N126" s="66"/>
    </row>
    <row r="127" spans="1:14" ht="12.75">
      <c r="A127" s="502">
        <v>69</v>
      </c>
      <c r="B127" s="66" t="s">
        <v>696</v>
      </c>
      <c r="C127" s="459" t="s">
        <v>297</v>
      </c>
      <c r="D127" s="459">
        <v>1</v>
      </c>
      <c r="E127" s="459">
        <v>5</v>
      </c>
      <c r="F127" s="66"/>
      <c r="G127" s="501"/>
      <c r="H127" s="276"/>
      <c r="I127" s="502"/>
      <c r="J127" s="66" t="s">
        <v>696</v>
      </c>
      <c r="K127" s="461" t="s">
        <v>297</v>
      </c>
      <c r="L127" s="461">
        <v>1</v>
      </c>
      <c r="M127" s="459">
        <v>5</v>
      </c>
      <c r="N127" s="66"/>
    </row>
    <row r="128" spans="1:14" ht="12.75">
      <c r="A128" s="502">
        <v>72</v>
      </c>
      <c r="B128" s="66" t="s">
        <v>697</v>
      </c>
      <c r="C128" s="459" t="s">
        <v>297</v>
      </c>
      <c r="D128" s="459">
        <v>1</v>
      </c>
      <c r="E128" s="459">
        <v>5</v>
      </c>
      <c r="F128" s="66"/>
      <c r="G128" s="501"/>
      <c r="H128" s="276"/>
      <c r="I128" s="502"/>
      <c r="J128" s="66" t="s">
        <v>697</v>
      </c>
      <c r="K128" s="461" t="s">
        <v>297</v>
      </c>
      <c r="L128" s="461">
        <v>1</v>
      </c>
      <c r="M128" s="459">
        <v>5</v>
      </c>
      <c r="N128" s="66"/>
    </row>
    <row r="129" spans="1:14" ht="12.75">
      <c r="A129" s="502"/>
      <c r="B129" s="66" t="s">
        <v>698</v>
      </c>
      <c r="C129" s="459" t="s">
        <v>297</v>
      </c>
      <c r="D129" s="459">
        <v>0.5</v>
      </c>
      <c r="E129" s="459">
        <v>1</v>
      </c>
      <c r="F129" s="66"/>
      <c r="G129" s="501"/>
      <c r="H129" s="276"/>
      <c r="I129" s="502"/>
      <c r="J129" s="66" t="s">
        <v>698</v>
      </c>
      <c r="K129" s="461" t="s">
        <v>297</v>
      </c>
      <c r="L129" s="461">
        <v>0.5</v>
      </c>
      <c r="M129" s="459">
        <v>1</v>
      </c>
      <c r="N129" s="66"/>
    </row>
    <row r="130" spans="1:14" ht="12.75">
      <c r="A130" s="502">
        <v>59</v>
      </c>
      <c r="B130" s="66" t="s">
        <v>699</v>
      </c>
      <c r="C130" s="459" t="s">
        <v>297</v>
      </c>
      <c r="D130" s="459">
        <v>1</v>
      </c>
      <c r="E130" s="459">
        <v>5</v>
      </c>
      <c r="F130" s="66"/>
      <c r="G130" s="501"/>
      <c r="H130" s="276"/>
      <c r="I130" s="502"/>
      <c r="J130" s="66" t="s">
        <v>699</v>
      </c>
      <c r="K130" s="461" t="s">
        <v>297</v>
      </c>
      <c r="L130" s="461">
        <v>1</v>
      </c>
      <c r="M130" s="459">
        <v>5</v>
      </c>
      <c r="N130" s="66"/>
    </row>
    <row r="131" spans="1:14" ht="12.75">
      <c r="A131" s="502">
        <v>65</v>
      </c>
      <c r="B131" s="66" t="s">
        <v>700</v>
      </c>
      <c r="C131" s="459" t="s">
        <v>297</v>
      </c>
      <c r="D131" s="459">
        <v>1</v>
      </c>
      <c r="E131" s="459">
        <v>5</v>
      </c>
      <c r="F131" s="66"/>
      <c r="G131" s="501"/>
      <c r="H131" s="276"/>
      <c r="I131" s="502"/>
      <c r="J131" s="66" t="s">
        <v>700</v>
      </c>
      <c r="K131" s="461" t="s">
        <v>297</v>
      </c>
      <c r="L131" s="461">
        <v>1</v>
      </c>
      <c r="M131" s="459">
        <v>5</v>
      </c>
      <c r="N131" s="66"/>
    </row>
    <row r="132" spans="1:14" ht="12.75">
      <c r="A132" s="502">
        <v>66</v>
      </c>
      <c r="B132" s="66" t="s">
        <v>701</v>
      </c>
      <c r="C132" s="459" t="s">
        <v>297</v>
      </c>
      <c r="D132" s="459">
        <v>0.5</v>
      </c>
      <c r="E132" s="459">
        <v>1</v>
      </c>
      <c r="F132" s="66"/>
      <c r="G132" s="501"/>
      <c r="H132" s="276"/>
      <c r="I132" s="502"/>
      <c r="J132" s="66" t="s">
        <v>701</v>
      </c>
      <c r="K132" s="461" t="s">
        <v>297</v>
      </c>
      <c r="L132" s="461">
        <v>0.5</v>
      </c>
      <c r="M132" s="459">
        <v>1</v>
      </c>
      <c r="N132" s="66"/>
    </row>
    <row r="133" spans="1:14" ht="12.75">
      <c r="A133" s="502">
        <v>67</v>
      </c>
      <c r="B133" s="66" t="s">
        <v>702</v>
      </c>
      <c r="C133" s="459" t="s">
        <v>297</v>
      </c>
      <c r="D133" s="459">
        <v>0.5</v>
      </c>
      <c r="E133" s="459">
        <v>1</v>
      </c>
      <c r="F133" s="66"/>
      <c r="G133" s="501"/>
      <c r="H133" s="276"/>
      <c r="I133" s="502"/>
      <c r="J133" s="66" t="s">
        <v>702</v>
      </c>
      <c r="K133" s="461" t="s">
        <v>297</v>
      </c>
      <c r="L133" s="461">
        <v>0.5</v>
      </c>
      <c r="M133" s="459">
        <v>1</v>
      </c>
      <c r="N133" s="66"/>
    </row>
    <row r="134" spans="1:14" ht="12.75">
      <c r="A134" s="502">
        <v>68</v>
      </c>
      <c r="B134" s="66" t="s">
        <v>703</v>
      </c>
      <c r="C134" s="462" t="s">
        <v>704</v>
      </c>
      <c r="D134" s="459">
        <v>2</v>
      </c>
      <c r="E134" s="459">
        <v>5</v>
      </c>
      <c r="F134" s="66"/>
      <c r="G134" s="501"/>
      <c r="H134" s="276"/>
      <c r="I134" s="502"/>
      <c r="J134" s="66" t="s">
        <v>703</v>
      </c>
      <c r="K134" s="461">
        <v>3</v>
      </c>
      <c r="L134" s="461">
        <v>2</v>
      </c>
      <c r="M134" s="459">
        <v>5</v>
      </c>
      <c r="N134" s="66"/>
    </row>
    <row r="135" spans="1:14" ht="12.75">
      <c r="A135" s="502">
        <v>70</v>
      </c>
      <c r="B135" s="66" t="s">
        <v>705</v>
      </c>
      <c r="C135" s="459" t="s">
        <v>297</v>
      </c>
      <c r="D135" s="459">
        <v>1</v>
      </c>
      <c r="E135" s="459">
        <v>5</v>
      </c>
      <c r="F135" s="66"/>
      <c r="G135" s="501"/>
      <c r="H135" s="276"/>
      <c r="I135" s="502"/>
      <c r="J135" s="66" t="s">
        <v>705</v>
      </c>
      <c r="K135" s="461" t="s">
        <v>297</v>
      </c>
      <c r="L135" s="461">
        <v>5</v>
      </c>
      <c r="M135" s="459">
        <v>10</v>
      </c>
      <c r="N135" s="66"/>
    </row>
    <row r="136" spans="1:14" ht="12.75">
      <c r="A136" s="502">
        <v>81</v>
      </c>
      <c r="B136" s="66" t="s">
        <v>706</v>
      </c>
      <c r="C136" s="459" t="s">
        <v>297</v>
      </c>
      <c r="D136" s="459">
        <v>1</v>
      </c>
      <c r="E136" s="459">
        <v>5</v>
      </c>
      <c r="F136" s="66"/>
      <c r="G136" s="501"/>
      <c r="H136" s="276"/>
      <c r="I136" s="502"/>
      <c r="J136" s="66" t="s">
        <v>706</v>
      </c>
      <c r="K136" s="461" t="s">
        <v>297</v>
      </c>
      <c r="L136" s="461">
        <v>5</v>
      </c>
      <c r="M136" s="459">
        <v>10</v>
      </c>
      <c r="N136" s="66"/>
    </row>
    <row r="137" spans="1:14" ht="12.75">
      <c r="A137" s="502">
        <v>84</v>
      </c>
      <c r="B137" s="66" t="s">
        <v>707</v>
      </c>
      <c r="C137" s="459" t="s">
        <v>297</v>
      </c>
      <c r="D137" s="459">
        <v>1</v>
      </c>
      <c r="E137" s="459">
        <v>5</v>
      </c>
      <c r="F137" s="66"/>
      <c r="G137" s="501"/>
      <c r="H137" s="276"/>
      <c r="I137" s="502"/>
      <c r="J137" s="66" t="s">
        <v>708</v>
      </c>
      <c r="K137" s="461" t="s">
        <v>297</v>
      </c>
      <c r="L137" s="461">
        <v>5</v>
      </c>
      <c r="M137" s="459">
        <v>10</v>
      </c>
      <c r="N137" s="66"/>
    </row>
    <row r="138" spans="1:14" ht="12.75">
      <c r="A138" s="502">
        <v>79</v>
      </c>
      <c r="B138" s="66" t="s">
        <v>709</v>
      </c>
      <c r="C138" s="459" t="s">
        <v>297</v>
      </c>
      <c r="D138" s="459">
        <v>1</v>
      </c>
      <c r="E138" s="459">
        <v>2</v>
      </c>
      <c r="F138" s="66"/>
      <c r="G138" s="501"/>
      <c r="H138" s="276"/>
      <c r="I138" s="502"/>
      <c r="J138" s="66" t="s">
        <v>709</v>
      </c>
      <c r="K138" s="461" t="s">
        <v>297</v>
      </c>
      <c r="L138" s="461">
        <v>1</v>
      </c>
      <c r="M138" s="459">
        <v>2</v>
      </c>
      <c r="N138" s="66"/>
    </row>
    <row r="139" spans="1:14" ht="12.75">
      <c r="A139" s="502">
        <v>80</v>
      </c>
      <c r="B139" s="66" t="s">
        <v>710</v>
      </c>
      <c r="C139" s="459"/>
      <c r="D139" s="459"/>
      <c r="E139" s="459"/>
      <c r="F139" s="66"/>
      <c r="G139" s="501"/>
      <c r="H139" s="276"/>
      <c r="I139" s="502"/>
      <c r="J139" s="66" t="s">
        <v>710</v>
      </c>
      <c r="K139" s="461" t="s">
        <v>297</v>
      </c>
      <c r="L139" s="461">
        <v>1</v>
      </c>
      <c r="M139" s="459">
        <v>2</v>
      </c>
      <c r="N139" s="66"/>
    </row>
    <row r="140" spans="1:14" ht="12.75">
      <c r="A140" s="502">
        <v>88</v>
      </c>
      <c r="B140" s="66" t="s">
        <v>711</v>
      </c>
      <c r="C140" s="459" t="s">
        <v>297</v>
      </c>
      <c r="D140" s="459">
        <v>0.5</v>
      </c>
      <c r="E140" s="459">
        <v>1</v>
      </c>
      <c r="F140" s="66"/>
      <c r="G140" s="501"/>
      <c r="H140" s="276"/>
      <c r="I140" s="502"/>
      <c r="J140" s="66" t="s">
        <v>711</v>
      </c>
      <c r="K140" s="461" t="s">
        <v>297</v>
      </c>
      <c r="L140" s="461">
        <v>0.5</v>
      </c>
      <c r="M140" s="459">
        <v>1</v>
      </c>
      <c r="N140" s="66"/>
    </row>
    <row r="141" spans="1:14" ht="12.75">
      <c r="A141" s="502">
        <v>89</v>
      </c>
      <c r="B141" s="66" t="s">
        <v>712</v>
      </c>
      <c r="C141" s="459" t="s">
        <v>297</v>
      </c>
      <c r="D141" s="459">
        <v>0.5</v>
      </c>
      <c r="E141" s="459">
        <v>1</v>
      </c>
      <c r="F141" s="66"/>
      <c r="G141" s="501"/>
      <c r="H141" s="276"/>
      <c r="I141" s="502"/>
      <c r="J141" s="66" t="s">
        <v>712</v>
      </c>
      <c r="K141" s="461" t="s">
        <v>297</v>
      </c>
      <c r="L141" s="461">
        <v>0.5</v>
      </c>
      <c r="M141" s="459">
        <v>1</v>
      </c>
      <c r="N141" s="66"/>
    </row>
    <row r="142" spans="1:14" ht="12.75">
      <c r="A142" s="502">
        <v>91</v>
      </c>
      <c r="B142" s="66" t="s">
        <v>713</v>
      </c>
      <c r="C142" s="459" t="s">
        <v>297</v>
      </c>
      <c r="D142" s="459">
        <v>0.5</v>
      </c>
      <c r="E142" s="459">
        <v>1</v>
      </c>
      <c r="F142" s="66"/>
      <c r="G142" s="501"/>
      <c r="H142" s="276"/>
      <c r="I142" s="502"/>
      <c r="J142" s="66" t="s">
        <v>713</v>
      </c>
      <c r="K142" s="461" t="s">
        <v>297</v>
      </c>
      <c r="L142" s="461">
        <v>0.5</v>
      </c>
      <c r="M142" s="459">
        <v>1</v>
      </c>
      <c r="N142" s="66"/>
    </row>
    <row r="143" spans="1:14" ht="12.75">
      <c r="A143" s="502">
        <v>90</v>
      </c>
      <c r="B143" s="66" t="s">
        <v>714</v>
      </c>
      <c r="C143" s="459" t="s">
        <v>297</v>
      </c>
      <c r="D143" s="459">
        <v>1</v>
      </c>
      <c r="E143" s="459">
        <v>2</v>
      </c>
      <c r="F143" s="66"/>
      <c r="G143" s="501"/>
      <c r="H143" s="276"/>
      <c r="I143" s="502"/>
      <c r="J143" s="66" t="s">
        <v>715</v>
      </c>
      <c r="K143" s="461" t="s">
        <v>297</v>
      </c>
      <c r="L143" s="461">
        <v>1</v>
      </c>
      <c r="M143" s="459">
        <v>2</v>
      </c>
      <c r="N143" s="66"/>
    </row>
    <row r="144" spans="1:14" ht="12.75">
      <c r="A144" s="502">
        <v>93</v>
      </c>
      <c r="B144" s="66" t="s">
        <v>716</v>
      </c>
      <c r="C144" s="459" t="s">
        <v>297</v>
      </c>
      <c r="D144" s="459">
        <v>0.5</v>
      </c>
      <c r="E144" s="459">
        <v>1</v>
      </c>
      <c r="F144" s="66"/>
      <c r="G144" s="501"/>
      <c r="H144" s="276"/>
      <c r="I144" s="502"/>
      <c r="J144" s="66" t="s">
        <v>717</v>
      </c>
      <c r="K144" s="461" t="s">
        <v>297</v>
      </c>
      <c r="L144" s="461">
        <v>0.5</v>
      </c>
      <c r="M144" s="459">
        <v>1</v>
      </c>
      <c r="N144" s="66"/>
    </row>
    <row r="145" spans="1:14" ht="12.75">
      <c r="A145" s="502">
        <v>98</v>
      </c>
      <c r="B145" s="66" t="s">
        <v>718</v>
      </c>
      <c r="C145" s="459" t="s">
        <v>297</v>
      </c>
      <c r="D145" s="459">
        <v>0.5</v>
      </c>
      <c r="E145" s="459">
        <v>1</v>
      </c>
      <c r="F145" s="66"/>
      <c r="G145" s="501"/>
      <c r="H145" s="276"/>
      <c r="I145" s="502"/>
      <c r="J145" s="66" t="s">
        <v>718</v>
      </c>
      <c r="K145" s="461" t="s">
        <v>297</v>
      </c>
      <c r="L145" s="461">
        <v>0.5</v>
      </c>
      <c r="M145" s="459">
        <v>1</v>
      </c>
      <c r="N145" s="66"/>
    </row>
    <row r="146" spans="1:14" ht="12.75">
      <c r="A146" s="502">
        <v>96</v>
      </c>
      <c r="B146" s="66" t="s">
        <v>719</v>
      </c>
      <c r="C146" s="459" t="s">
        <v>297</v>
      </c>
      <c r="D146" s="459">
        <v>0.5</v>
      </c>
      <c r="E146" s="459">
        <v>2</v>
      </c>
      <c r="F146" s="66"/>
      <c r="G146" s="501"/>
      <c r="H146" s="276"/>
      <c r="I146" s="502"/>
      <c r="J146" s="66" t="s">
        <v>719</v>
      </c>
      <c r="K146" s="461" t="s">
        <v>297</v>
      </c>
      <c r="L146" s="461">
        <v>0.5</v>
      </c>
      <c r="M146" s="459">
        <v>2</v>
      </c>
      <c r="N146" s="66"/>
    </row>
    <row r="147" spans="1:14" ht="12.75">
      <c r="A147" s="502">
        <v>97</v>
      </c>
      <c r="B147" s="66" t="s">
        <v>720</v>
      </c>
      <c r="C147" s="459" t="s">
        <v>297</v>
      </c>
      <c r="D147" s="459">
        <v>1</v>
      </c>
      <c r="E147" s="459">
        <v>5</v>
      </c>
      <c r="F147" s="66"/>
      <c r="G147" s="501"/>
      <c r="H147" s="276"/>
      <c r="I147" s="502"/>
      <c r="J147" s="66" t="s">
        <v>720</v>
      </c>
      <c r="K147" s="461" t="s">
        <v>297</v>
      </c>
      <c r="L147" s="461">
        <v>1</v>
      </c>
      <c r="M147" s="459">
        <v>5</v>
      </c>
      <c r="N147" s="66"/>
    </row>
    <row r="148" spans="1:14" ht="12.75">
      <c r="A148" s="502">
        <v>95</v>
      </c>
      <c r="B148" s="66" t="s">
        <v>721</v>
      </c>
      <c r="C148" s="459" t="s">
        <v>297</v>
      </c>
      <c r="D148" s="459">
        <v>0.5</v>
      </c>
      <c r="E148" s="459">
        <v>1</v>
      </c>
      <c r="F148" s="66"/>
      <c r="G148" s="501"/>
      <c r="H148" s="276"/>
      <c r="I148" s="502"/>
      <c r="J148" s="66" t="s">
        <v>721</v>
      </c>
      <c r="K148" s="461" t="s">
        <v>297</v>
      </c>
      <c r="L148" s="461">
        <v>0.5</v>
      </c>
      <c r="M148" s="459">
        <v>1</v>
      </c>
      <c r="N148" s="66"/>
    </row>
    <row r="149" spans="1:14" ht="12.75">
      <c r="A149" s="502">
        <v>53</v>
      </c>
      <c r="B149" s="66" t="s">
        <v>722</v>
      </c>
      <c r="C149" s="459" t="s">
        <v>297</v>
      </c>
      <c r="D149" s="459">
        <v>0.2</v>
      </c>
      <c r="E149" s="459">
        <v>1</v>
      </c>
      <c r="F149" s="66"/>
      <c r="G149" s="501"/>
      <c r="H149" s="276"/>
      <c r="I149" s="502"/>
      <c r="J149" s="66" t="s">
        <v>722</v>
      </c>
      <c r="K149" s="461" t="s">
        <v>297</v>
      </c>
      <c r="L149" s="461">
        <v>0.2</v>
      </c>
      <c r="M149" s="459">
        <v>1</v>
      </c>
      <c r="N149" s="66"/>
    </row>
    <row r="150" spans="1:14" ht="12.75">
      <c r="A150" s="502">
        <v>54</v>
      </c>
      <c r="B150" s="66" t="s">
        <v>723</v>
      </c>
      <c r="C150" s="459" t="s">
        <v>297</v>
      </c>
      <c r="D150" s="459">
        <v>0.5</v>
      </c>
      <c r="E150" s="459">
        <v>1</v>
      </c>
      <c r="F150" s="66"/>
      <c r="G150" s="501"/>
      <c r="H150" s="276"/>
      <c r="I150" s="502"/>
      <c r="J150" s="66" t="s">
        <v>723</v>
      </c>
      <c r="K150" s="461" t="s">
        <v>297</v>
      </c>
      <c r="L150" s="461">
        <v>0.5</v>
      </c>
      <c r="M150" s="459">
        <v>1</v>
      </c>
      <c r="N150" s="66"/>
    </row>
    <row r="151" spans="1:16" ht="12.75">
      <c r="A151" s="502"/>
      <c r="B151" s="66"/>
      <c r="C151" s="459"/>
      <c r="D151" s="459"/>
      <c r="E151" s="459"/>
      <c r="F151" s="66"/>
      <c r="G151" s="505" t="s">
        <v>745</v>
      </c>
      <c r="H151" s="505" t="s">
        <v>746</v>
      </c>
      <c r="I151" s="502"/>
      <c r="J151" s="66" t="s">
        <v>724</v>
      </c>
      <c r="K151" s="461" t="s">
        <v>297</v>
      </c>
      <c r="L151" s="461">
        <v>1</v>
      </c>
      <c r="M151" s="461">
        <v>5</v>
      </c>
      <c r="N151" s="66"/>
      <c r="O151" s="505" t="s">
        <v>745</v>
      </c>
      <c r="P151" s="505" t="s">
        <v>746</v>
      </c>
    </row>
    <row r="152" spans="1:16" ht="12.75">
      <c r="A152" s="502" t="s">
        <v>726</v>
      </c>
      <c r="B152" s="66" t="s">
        <v>725</v>
      </c>
      <c r="C152" s="459" t="s">
        <v>297</v>
      </c>
      <c r="D152" s="459"/>
      <c r="E152" s="459">
        <v>0.01</v>
      </c>
      <c r="F152" s="66" t="s">
        <v>751</v>
      </c>
      <c r="G152" s="66"/>
      <c r="H152" s="66"/>
      <c r="I152" s="502"/>
      <c r="J152" s="66" t="s">
        <v>725</v>
      </c>
      <c r="K152" s="461" t="s">
        <v>297</v>
      </c>
      <c r="L152" s="464">
        <v>1.8</v>
      </c>
      <c r="M152" s="461"/>
      <c r="N152" s="66" t="s">
        <v>751</v>
      </c>
      <c r="O152" s="66"/>
      <c r="P152" s="66"/>
    </row>
    <row r="153" spans="1:16" ht="12.75">
      <c r="A153" s="502" t="s">
        <v>726</v>
      </c>
      <c r="B153" s="66" t="s">
        <v>303</v>
      </c>
      <c r="C153" s="459" t="s">
        <v>297</v>
      </c>
      <c r="D153" s="459"/>
      <c r="E153" s="459">
        <v>0.01</v>
      </c>
      <c r="F153" s="66" t="s">
        <v>751</v>
      </c>
      <c r="G153" s="66"/>
      <c r="H153" s="66"/>
      <c r="I153" s="502"/>
      <c r="J153" s="66" t="s">
        <v>303</v>
      </c>
      <c r="K153" s="461" t="s">
        <v>297</v>
      </c>
      <c r="L153" s="461">
        <v>1.89</v>
      </c>
      <c r="M153" s="461"/>
      <c r="N153" s="66" t="s">
        <v>751</v>
      </c>
      <c r="O153" s="66"/>
      <c r="P153" s="66"/>
    </row>
    <row r="154" spans="1:16" ht="12.75">
      <c r="A154" s="502" t="s">
        <v>726</v>
      </c>
      <c r="B154" s="66" t="s">
        <v>727</v>
      </c>
      <c r="C154" s="459" t="s">
        <v>297</v>
      </c>
      <c r="D154" s="459"/>
      <c r="E154" s="459">
        <v>0.051</v>
      </c>
      <c r="F154" s="66" t="s">
        <v>751</v>
      </c>
      <c r="G154" s="66"/>
      <c r="H154" s="66"/>
      <c r="I154" s="502"/>
      <c r="J154" s="66" t="s">
        <v>727</v>
      </c>
      <c r="K154" s="461" t="s">
        <v>297</v>
      </c>
      <c r="L154" s="461">
        <v>4.09</v>
      </c>
      <c r="M154" s="461"/>
      <c r="N154" s="66" t="s">
        <v>751</v>
      </c>
      <c r="O154" s="66"/>
      <c r="P154" s="66"/>
    </row>
    <row r="155" spans="1:16" ht="12.75">
      <c r="A155" s="502" t="s">
        <v>726</v>
      </c>
      <c r="B155" s="66" t="s">
        <v>728</v>
      </c>
      <c r="C155" s="459" t="s">
        <v>297</v>
      </c>
      <c r="D155" s="459"/>
      <c r="E155" s="459">
        <v>0.051</v>
      </c>
      <c r="F155" s="66" t="s">
        <v>751</v>
      </c>
      <c r="G155" s="66"/>
      <c r="H155" s="66"/>
      <c r="I155" s="502"/>
      <c r="J155" s="66" t="s">
        <v>728</v>
      </c>
      <c r="K155" s="461" t="s">
        <v>297</v>
      </c>
      <c r="L155" s="461">
        <v>3.8</v>
      </c>
      <c r="M155" s="461"/>
      <c r="N155" s="66" t="s">
        <v>751</v>
      </c>
      <c r="O155" s="66"/>
      <c r="P155" s="66"/>
    </row>
    <row r="156" spans="1:16" ht="12.75">
      <c r="A156" s="502" t="s">
        <v>726</v>
      </c>
      <c r="B156" s="66" t="s">
        <v>729</v>
      </c>
      <c r="C156" s="459" t="s">
        <v>297</v>
      </c>
      <c r="D156" s="459"/>
      <c r="E156" s="459">
        <v>0.051</v>
      </c>
      <c r="F156" s="66" t="s">
        <v>751</v>
      </c>
      <c r="G156" s="66"/>
      <c r="H156" s="66"/>
      <c r="I156" s="502"/>
      <c r="J156" s="66" t="s">
        <v>729</v>
      </c>
      <c r="K156" s="461" t="s">
        <v>297</v>
      </c>
      <c r="L156" s="461">
        <v>3.8</v>
      </c>
      <c r="M156" s="461"/>
      <c r="N156" s="66" t="s">
        <v>751</v>
      </c>
      <c r="O156" s="66"/>
      <c r="P156" s="66"/>
    </row>
    <row r="157" spans="1:16" ht="12.75">
      <c r="A157" s="502" t="s">
        <v>726</v>
      </c>
      <c r="B157" s="66" t="s">
        <v>730</v>
      </c>
      <c r="C157" s="459" t="s">
        <v>297</v>
      </c>
      <c r="D157" s="459"/>
      <c r="E157" s="459">
        <v>0.051</v>
      </c>
      <c r="F157" s="66" t="s">
        <v>751</v>
      </c>
      <c r="G157" s="66"/>
      <c r="H157" s="66"/>
      <c r="I157" s="502"/>
      <c r="J157" s="66" t="s">
        <v>730</v>
      </c>
      <c r="K157" s="461" t="s">
        <v>297</v>
      </c>
      <c r="L157" s="461">
        <v>2.22</v>
      </c>
      <c r="M157" s="461"/>
      <c r="N157" s="66" t="s">
        <v>751</v>
      </c>
      <c r="O157" s="66"/>
      <c r="P157" s="66"/>
    </row>
    <row r="158" spans="1:16" ht="12.75">
      <c r="A158" s="502" t="s">
        <v>726</v>
      </c>
      <c r="B158" s="66" t="s">
        <v>731</v>
      </c>
      <c r="C158" s="459" t="s">
        <v>297</v>
      </c>
      <c r="D158" s="459"/>
      <c r="E158" s="459">
        <v>0.051</v>
      </c>
      <c r="F158" s="66" t="s">
        <v>751</v>
      </c>
      <c r="G158" s="66"/>
      <c r="H158" s="66"/>
      <c r="I158" s="502"/>
      <c r="J158" s="66" t="s">
        <v>731</v>
      </c>
      <c r="K158" s="461" t="s">
        <v>297</v>
      </c>
      <c r="L158" s="461">
        <v>2.91</v>
      </c>
      <c r="M158" s="461"/>
      <c r="N158" s="66" t="s">
        <v>751</v>
      </c>
      <c r="O158" s="66"/>
      <c r="P158" s="66"/>
    </row>
    <row r="159" spans="1:16" ht="12.75">
      <c r="A159" s="502" t="s">
        <v>726</v>
      </c>
      <c r="B159" s="66" t="s">
        <v>732</v>
      </c>
      <c r="C159" s="459" t="s">
        <v>297</v>
      </c>
      <c r="D159" s="459"/>
      <c r="E159" s="459">
        <v>0.051</v>
      </c>
      <c r="F159" s="66" t="s">
        <v>751</v>
      </c>
      <c r="G159" s="66"/>
      <c r="H159" s="66"/>
      <c r="I159" s="502"/>
      <c r="J159" s="66" t="s">
        <v>732</v>
      </c>
      <c r="K159" s="461" t="s">
        <v>297</v>
      </c>
      <c r="L159" s="461">
        <v>3.1</v>
      </c>
      <c r="M159" s="461"/>
      <c r="N159" s="66" t="s">
        <v>751</v>
      </c>
      <c r="O159" s="66"/>
      <c r="P159" s="66"/>
    </row>
    <row r="160" spans="1:16" ht="12.75">
      <c r="A160" s="502" t="s">
        <v>726</v>
      </c>
      <c r="B160" s="66" t="s">
        <v>733</v>
      </c>
      <c r="C160" s="459" t="s">
        <v>297</v>
      </c>
      <c r="D160" s="459"/>
      <c r="E160" s="459">
        <v>0.051</v>
      </c>
      <c r="F160" s="66" t="s">
        <v>751</v>
      </c>
      <c r="G160" s="66"/>
      <c r="H160" s="66"/>
      <c r="I160" s="502"/>
      <c r="J160" s="66" t="s">
        <v>733</v>
      </c>
      <c r="K160" s="461" t="s">
        <v>297</v>
      </c>
      <c r="L160" s="461">
        <v>3.77</v>
      </c>
      <c r="M160" s="461"/>
      <c r="N160" s="66" t="s">
        <v>751</v>
      </c>
      <c r="O160" s="66"/>
      <c r="P160" s="66"/>
    </row>
    <row r="161" spans="1:16" ht="12.75">
      <c r="A161" s="502" t="s">
        <v>726</v>
      </c>
      <c r="B161" s="66" t="s">
        <v>734</v>
      </c>
      <c r="C161" s="459" t="s">
        <v>297</v>
      </c>
      <c r="D161" s="459"/>
      <c r="E161" s="459">
        <v>0.051</v>
      </c>
      <c r="F161" s="66" t="s">
        <v>751</v>
      </c>
      <c r="G161" s="66"/>
      <c r="H161" s="66"/>
      <c r="I161" s="502"/>
      <c r="J161" s="66" t="s">
        <v>734</v>
      </c>
      <c r="K161" s="461" t="s">
        <v>297</v>
      </c>
      <c r="L161" s="461">
        <v>4.17</v>
      </c>
      <c r="M161" s="461"/>
      <c r="N161" s="66" t="s">
        <v>751</v>
      </c>
      <c r="O161" s="66"/>
      <c r="P161" s="66"/>
    </row>
    <row r="162" spans="1:16" ht="12.75">
      <c r="A162" s="502" t="s">
        <v>726</v>
      </c>
      <c r="B162" s="66" t="s">
        <v>735</v>
      </c>
      <c r="C162" s="459" t="s">
        <v>297</v>
      </c>
      <c r="D162" s="459"/>
      <c r="E162" s="459">
        <v>0.051</v>
      </c>
      <c r="F162" s="66" t="s">
        <v>751</v>
      </c>
      <c r="G162" s="66"/>
      <c r="H162" s="66"/>
      <c r="I162" s="502"/>
      <c r="J162" s="66" t="s">
        <v>736</v>
      </c>
      <c r="K162" s="461" t="s">
        <v>297</v>
      </c>
      <c r="L162" s="461">
        <v>4.57</v>
      </c>
      <c r="M162" s="461"/>
      <c r="N162" s="66" t="s">
        <v>751</v>
      </c>
      <c r="O162" s="66"/>
      <c r="P162" s="66"/>
    </row>
    <row r="163" spans="1:16" ht="12.75">
      <c r="A163" s="502" t="s">
        <v>726</v>
      </c>
      <c r="B163" s="66" t="s">
        <v>737</v>
      </c>
      <c r="C163" s="459" t="s">
        <v>297</v>
      </c>
      <c r="D163" s="459"/>
      <c r="E163" s="459">
        <v>0.051</v>
      </c>
      <c r="F163" s="66" t="s">
        <v>751</v>
      </c>
      <c r="G163" s="66"/>
      <c r="H163" s="66"/>
      <c r="I163" s="502"/>
      <c r="J163" s="66" t="s">
        <v>737</v>
      </c>
      <c r="K163" s="461" t="s">
        <v>297</v>
      </c>
      <c r="L163" s="461">
        <v>4.17</v>
      </c>
      <c r="M163" s="461"/>
      <c r="N163" s="66" t="s">
        <v>751</v>
      </c>
      <c r="O163" s="66"/>
      <c r="P163" s="66"/>
    </row>
    <row r="164" spans="1:16" ht="12.75">
      <c r="A164" s="502" t="s">
        <v>726</v>
      </c>
      <c r="B164" s="66" t="s">
        <v>738</v>
      </c>
      <c r="C164" s="459" t="s">
        <v>297</v>
      </c>
      <c r="D164" s="459"/>
      <c r="E164" s="459">
        <v>0.051</v>
      </c>
      <c r="F164" s="66" t="s">
        <v>751</v>
      </c>
      <c r="G164" s="66"/>
      <c r="H164" s="66"/>
      <c r="I164" s="502"/>
      <c r="J164" s="66" t="s">
        <v>738</v>
      </c>
      <c r="K164" s="461" t="s">
        <v>297</v>
      </c>
      <c r="L164" s="461">
        <v>2.84</v>
      </c>
      <c r="M164" s="461"/>
      <c r="N164" s="66" t="s">
        <v>751</v>
      </c>
      <c r="O164" s="66"/>
      <c r="P164" s="66"/>
    </row>
    <row r="165" spans="1:16" ht="12.75">
      <c r="A165" s="502" t="s">
        <v>726</v>
      </c>
      <c r="B165" s="66" t="s">
        <v>739</v>
      </c>
      <c r="C165" s="459" t="s">
        <v>297</v>
      </c>
      <c r="D165" s="459"/>
      <c r="E165" s="459">
        <v>0.051</v>
      </c>
      <c r="F165" s="66" t="s">
        <v>751</v>
      </c>
      <c r="G165" s="66"/>
      <c r="H165" s="66"/>
      <c r="I165" s="502"/>
      <c r="J165" s="66" t="s">
        <v>739</v>
      </c>
      <c r="K165" s="461" t="s">
        <v>297</v>
      </c>
      <c r="L165" s="461">
        <v>3.79</v>
      </c>
      <c r="M165" s="461"/>
      <c r="N165" s="66" t="s">
        <v>751</v>
      </c>
      <c r="O165" s="66"/>
      <c r="P165" s="66"/>
    </row>
    <row r="166" spans="1:16" ht="12.75">
      <c r="A166" s="502" t="s">
        <v>726</v>
      </c>
      <c r="B166" s="66" t="s">
        <v>740</v>
      </c>
      <c r="C166" s="459" t="s">
        <v>297</v>
      </c>
      <c r="D166" s="459"/>
      <c r="E166" s="459">
        <v>0.051</v>
      </c>
      <c r="F166" s="66" t="s">
        <v>751</v>
      </c>
      <c r="G166" s="66">
        <v>0.01</v>
      </c>
      <c r="H166" s="66"/>
      <c r="I166" s="502"/>
      <c r="J166" s="66" t="s">
        <v>740</v>
      </c>
      <c r="K166" s="461">
        <v>11.5</v>
      </c>
      <c r="L166" s="461"/>
      <c r="M166" s="461"/>
      <c r="N166" s="66" t="s">
        <v>749</v>
      </c>
      <c r="O166" s="66">
        <v>0.01</v>
      </c>
      <c r="P166" s="66">
        <f>K166*O166</f>
        <v>0.115</v>
      </c>
    </row>
    <row r="167" spans="1:16" ht="12.75">
      <c r="A167" s="502" t="s">
        <v>726</v>
      </c>
      <c r="B167" s="66" t="s">
        <v>741</v>
      </c>
      <c r="C167" s="459" t="s">
        <v>297</v>
      </c>
      <c r="D167" s="459"/>
      <c r="E167" s="459">
        <v>0.1</v>
      </c>
      <c r="F167" s="66" t="s">
        <v>751</v>
      </c>
      <c r="G167" s="66"/>
      <c r="H167" s="66"/>
      <c r="I167" s="502"/>
      <c r="J167" s="66" t="s">
        <v>741</v>
      </c>
      <c r="K167" s="461" t="s">
        <v>297</v>
      </c>
      <c r="L167" s="461">
        <v>9.03</v>
      </c>
      <c r="M167" s="461"/>
      <c r="N167" s="66" t="s">
        <v>751</v>
      </c>
      <c r="O167" s="66"/>
      <c r="P167" s="66"/>
    </row>
    <row r="168" spans="1:16" ht="12.75">
      <c r="A168" s="502" t="s">
        <v>726</v>
      </c>
      <c r="B168" s="66" t="s">
        <v>742</v>
      </c>
      <c r="C168" s="459">
        <v>0.22</v>
      </c>
      <c r="D168" s="459"/>
      <c r="E168" s="459">
        <v>0.1</v>
      </c>
      <c r="F168" s="66" t="s">
        <v>751</v>
      </c>
      <c r="G168" s="66">
        <v>0.0001</v>
      </c>
      <c r="H168" s="66">
        <f>C168*G168</f>
        <v>2.2000000000000003E-05</v>
      </c>
      <c r="I168" s="502"/>
      <c r="J168" s="66" t="s">
        <v>742</v>
      </c>
      <c r="K168" s="461">
        <v>107</v>
      </c>
      <c r="L168" s="461"/>
      <c r="M168" s="461"/>
      <c r="N168" s="66" t="s">
        <v>751</v>
      </c>
      <c r="O168" s="66">
        <v>0.0001</v>
      </c>
      <c r="P168" s="66">
        <f>K168*O168</f>
        <v>0.010700000000000001</v>
      </c>
    </row>
    <row r="169" spans="1:9" ht="12.75">
      <c r="A169" s="276"/>
      <c r="I169" s="276"/>
    </row>
    <row r="170" spans="1:16" ht="12.75">
      <c r="A170" s="276"/>
      <c r="G170" s="504" t="s">
        <v>747</v>
      </c>
      <c r="H170">
        <f>SUM(H152:H168)</f>
        <v>2.2000000000000003E-05</v>
      </c>
      <c r="I170" s="276"/>
      <c r="N170" s="499"/>
      <c r="O170" s="504" t="s">
        <v>750</v>
      </c>
      <c r="P170">
        <f>SUM(P152:P168)</f>
        <v>0.1257</v>
      </c>
    </row>
    <row r="171" spans="1:16" ht="12.75">
      <c r="A171" s="276"/>
      <c r="G171" s="504" t="s">
        <v>748</v>
      </c>
      <c r="H171">
        <f>H170/1000</f>
        <v>2.2000000000000002E-08</v>
      </c>
      <c r="I171" s="276"/>
      <c r="N171" s="499"/>
      <c r="O171" s="504" t="s">
        <v>748</v>
      </c>
      <c r="P171">
        <f>P170/1000000</f>
        <v>1.257E-07</v>
      </c>
    </row>
    <row r="172" spans="1:9" ht="12.75">
      <c r="A172" s="276"/>
      <c r="I172" s="276"/>
    </row>
    <row r="173" spans="1:9" ht="12.75">
      <c r="A173" s="276"/>
      <c r="I173" s="276"/>
    </row>
    <row r="174" spans="1:9" ht="12.75">
      <c r="A174" s="276"/>
      <c r="I174" s="276"/>
    </row>
    <row r="175" spans="1:9" ht="12.75">
      <c r="A175" s="276"/>
      <c r="I175" s="276"/>
    </row>
    <row r="176" spans="1:9" ht="12.75">
      <c r="A176" s="276"/>
      <c r="I176" s="276"/>
    </row>
    <row r="177" spans="1:9" ht="12.75">
      <c r="A177" s="276"/>
      <c r="I177" s="276"/>
    </row>
    <row r="178" spans="1:9" ht="12.75">
      <c r="A178" s="276"/>
      <c r="I178" s="276"/>
    </row>
    <row r="179" spans="1:9" ht="12.75">
      <c r="A179" s="276"/>
      <c r="I179" s="276"/>
    </row>
    <row r="180" spans="1:9" ht="12.75">
      <c r="A180" s="276"/>
      <c r="I180" s="276"/>
    </row>
    <row r="181" spans="1:9" ht="12.75">
      <c r="A181" s="276"/>
      <c r="I181" s="276"/>
    </row>
    <row r="182" spans="1:9" ht="12.75">
      <c r="A182" s="276"/>
      <c r="I182" s="276"/>
    </row>
    <row r="183" spans="1:9" ht="12.75">
      <c r="A183" s="276"/>
      <c r="I183" s="276"/>
    </row>
    <row r="184" spans="1:9" ht="12.75">
      <c r="A184" s="276"/>
      <c r="I184" s="276"/>
    </row>
    <row r="185" spans="1:9" ht="12.75">
      <c r="A185" s="276"/>
      <c r="I185" s="276"/>
    </row>
    <row r="186" spans="1:9" ht="12.75">
      <c r="A186" s="276"/>
      <c r="I186" s="276"/>
    </row>
    <row r="187" spans="1:9" ht="12.75">
      <c r="A187" s="276"/>
      <c r="I187" s="276"/>
    </row>
    <row r="188" spans="1:9" ht="12.75">
      <c r="A188" s="276"/>
      <c r="I188" s="276"/>
    </row>
    <row r="189" spans="1:9" ht="12.75">
      <c r="A189" s="276"/>
      <c r="I189" s="276"/>
    </row>
    <row r="190" spans="1:9" ht="12.75">
      <c r="A190" s="276"/>
      <c r="I190" s="276"/>
    </row>
    <row r="191" spans="1:9" ht="12.75">
      <c r="A191" s="276"/>
      <c r="I191" s="276"/>
    </row>
    <row r="192" spans="1:9" ht="12.75">
      <c r="A192" s="276"/>
      <c r="I192" s="276"/>
    </row>
    <row r="193" spans="1:9" ht="12.75">
      <c r="A193" s="276"/>
      <c r="I193" s="276"/>
    </row>
    <row r="194" spans="1:9" ht="12.75">
      <c r="A194" s="276"/>
      <c r="I194" s="276"/>
    </row>
    <row r="195" spans="1:9" ht="12.75">
      <c r="A195" s="276"/>
      <c r="I195" s="276"/>
    </row>
    <row r="196" spans="1:9" ht="12.75">
      <c r="A196" s="276"/>
      <c r="I196" s="276"/>
    </row>
    <row r="197" spans="1:9" ht="12.75">
      <c r="A197" s="276"/>
      <c r="I197" s="276"/>
    </row>
    <row r="198" spans="1:9" ht="12.75">
      <c r="A198" s="276"/>
      <c r="I198" s="276"/>
    </row>
    <row r="199" spans="1:9" ht="12.75">
      <c r="A199" s="276"/>
      <c r="I199" s="276"/>
    </row>
    <row r="200" spans="1:9" ht="12.75">
      <c r="A200" s="276"/>
      <c r="I200" s="276"/>
    </row>
    <row r="201" spans="1:9" ht="12.75">
      <c r="A201" s="276"/>
      <c r="I201" s="276"/>
    </row>
    <row r="202" spans="1:9" ht="12.75">
      <c r="A202" s="276"/>
      <c r="I202" s="276"/>
    </row>
    <row r="203" spans="1:9" ht="12.75">
      <c r="A203" s="276"/>
      <c r="I203" s="276"/>
    </row>
    <row r="204" spans="1:9" ht="12.75">
      <c r="A204" s="276"/>
      <c r="I204" s="276"/>
    </row>
    <row r="205" spans="1:9" ht="12.75">
      <c r="A205" s="276"/>
      <c r="I205" s="276"/>
    </row>
    <row r="206" spans="1:9" ht="12.75">
      <c r="A206" s="276"/>
      <c r="I206" s="276"/>
    </row>
    <row r="207" spans="1:9" ht="12.75">
      <c r="A207" s="276"/>
      <c r="I207" s="276"/>
    </row>
    <row r="208" spans="1:9" ht="12.75">
      <c r="A208" s="276"/>
      <c r="I208" s="276"/>
    </row>
    <row r="209" spans="1:9" ht="12.75">
      <c r="A209" s="276"/>
      <c r="I209" s="276"/>
    </row>
    <row r="210" spans="1:9" ht="12.75">
      <c r="A210" s="276"/>
      <c r="I210" s="276"/>
    </row>
    <row r="211" spans="1:9" ht="12.75">
      <c r="A211" s="276"/>
      <c r="I211" s="276"/>
    </row>
    <row r="212" spans="1:9" ht="12.75">
      <c r="A212" s="276"/>
      <c r="I212" s="276"/>
    </row>
    <row r="213" spans="1:9" ht="12.75">
      <c r="A213" s="276"/>
      <c r="I213" s="276"/>
    </row>
    <row r="214" spans="1:9" ht="12.75">
      <c r="A214" s="276"/>
      <c r="I214" s="276"/>
    </row>
    <row r="215" spans="1:9" ht="12.75">
      <c r="A215" s="276"/>
      <c r="I215" s="276"/>
    </row>
    <row r="216" spans="1:9" ht="12.75">
      <c r="A216" s="276"/>
      <c r="I216" s="276"/>
    </row>
    <row r="217" spans="1:9" ht="12.75">
      <c r="A217" s="276"/>
      <c r="I217" s="276"/>
    </row>
    <row r="218" spans="1:9" ht="12.75">
      <c r="A218" s="276"/>
      <c r="I218" s="276"/>
    </row>
    <row r="219" spans="1:9" ht="12.75">
      <c r="A219" s="276"/>
      <c r="I219" s="276"/>
    </row>
    <row r="220" spans="1:9" ht="12.75">
      <c r="A220" s="276"/>
      <c r="I220" s="276"/>
    </row>
    <row r="221" spans="1:9" ht="12.75">
      <c r="A221" s="276"/>
      <c r="I221" s="276"/>
    </row>
    <row r="222" spans="1:9" ht="12.75">
      <c r="A222" s="276"/>
      <c r="I222" s="276"/>
    </row>
    <row r="223" spans="1:9" ht="12.75">
      <c r="A223" s="276"/>
      <c r="I223" s="276"/>
    </row>
    <row r="224" spans="1:9" ht="12.75">
      <c r="A224" s="276"/>
      <c r="I224" s="276"/>
    </row>
    <row r="225" spans="1:9" ht="12.75">
      <c r="A225" s="276"/>
      <c r="I225" s="276"/>
    </row>
    <row r="226" spans="1:9" ht="12.75">
      <c r="A226" s="276"/>
      <c r="I226" s="276"/>
    </row>
    <row r="227" spans="1:9" ht="12.75">
      <c r="A227" s="276"/>
      <c r="I227" s="276"/>
    </row>
    <row r="228" spans="1:9" ht="12.75">
      <c r="A228" s="276"/>
      <c r="I228" s="276"/>
    </row>
    <row r="229" spans="1:9" ht="12.75">
      <c r="A229" s="276"/>
      <c r="I229" s="276"/>
    </row>
    <row r="230" spans="1:9" ht="12.75">
      <c r="A230" s="276"/>
      <c r="I230" s="276"/>
    </row>
    <row r="231" spans="1:9" ht="12.75">
      <c r="A231" s="276"/>
      <c r="I231" s="276"/>
    </row>
    <row r="232" spans="1:9" ht="12.75">
      <c r="A232" s="276"/>
      <c r="I232" s="276"/>
    </row>
    <row r="233" spans="1:9" ht="12.75">
      <c r="A233" s="276"/>
      <c r="I233" s="276"/>
    </row>
    <row r="234" spans="1:9" ht="12.75">
      <c r="A234" s="276"/>
      <c r="I234" s="276"/>
    </row>
    <row r="235" spans="1:9" ht="12.75">
      <c r="A235" s="276"/>
      <c r="I235" s="276"/>
    </row>
    <row r="236" spans="1:9" ht="12.75">
      <c r="A236" s="276"/>
      <c r="I236" s="276"/>
    </row>
    <row r="237" spans="1:9" ht="12.75">
      <c r="A237" s="276"/>
      <c r="I237" s="276"/>
    </row>
    <row r="238" spans="1:9" ht="12.75">
      <c r="A238" s="276"/>
      <c r="I238" s="276"/>
    </row>
    <row r="239" spans="1:9" ht="12.75">
      <c r="A239" s="276"/>
      <c r="I239" s="276"/>
    </row>
    <row r="240" spans="1:9" ht="12.75">
      <c r="A240" s="276"/>
      <c r="I240" s="276"/>
    </row>
    <row r="241" spans="1:9" ht="12.75">
      <c r="A241" s="276"/>
      <c r="I241" s="276"/>
    </row>
    <row r="242" spans="1:9" ht="12.75">
      <c r="A242" s="276"/>
      <c r="I242" s="276"/>
    </row>
    <row r="243" ht="12.75">
      <c r="A243" s="276"/>
    </row>
    <row r="244" ht="12.75">
      <c r="A244" s="276"/>
    </row>
    <row r="245" ht="12.75">
      <c r="A245" s="276"/>
    </row>
    <row r="246" ht="12.75">
      <c r="A246" s="276"/>
    </row>
    <row r="247" ht="12.75">
      <c r="A247" s="276"/>
    </row>
    <row r="248" ht="12.75">
      <c r="A248" s="276"/>
    </row>
    <row r="249" ht="12.75">
      <c r="A249" s="276"/>
    </row>
    <row r="250" ht="12.75">
      <c r="A250" s="276"/>
    </row>
    <row r="251" ht="12.75">
      <c r="A251" s="276"/>
    </row>
    <row r="252" ht="12.75">
      <c r="A252" s="276"/>
    </row>
    <row r="253" ht="12.75">
      <c r="A253" s="276"/>
    </row>
    <row r="254" ht="12.75">
      <c r="A254" s="276"/>
    </row>
    <row r="255" ht="12.75">
      <c r="A255" s="276"/>
    </row>
    <row r="256" ht="12.75">
      <c r="A256" s="276"/>
    </row>
    <row r="257" ht="12.75">
      <c r="A257" s="276"/>
    </row>
    <row r="258" ht="12.75">
      <c r="A258" s="276"/>
    </row>
    <row r="259" ht="12.75">
      <c r="A259" s="276"/>
    </row>
    <row r="260" ht="12.75">
      <c r="A260" s="276"/>
    </row>
    <row r="261" ht="12.75">
      <c r="A261" s="276"/>
    </row>
    <row r="262" ht="12.75">
      <c r="A262" s="276"/>
    </row>
    <row r="263" ht="12.75">
      <c r="A263" s="276"/>
    </row>
    <row r="264" ht="12.75">
      <c r="A264" s="276"/>
    </row>
    <row r="265" ht="12.75">
      <c r="A265" s="276"/>
    </row>
    <row r="266" ht="12.75">
      <c r="A266" s="276"/>
    </row>
    <row r="267" ht="12.75">
      <c r="A267" s="276"/>
    </row>
    <row r="268" ht="12.75">
      <c r="A268" s="276"/>
    </row>
    <row r="269" ht="12.75">
      <c r="A269" s="276"/>
    </row>
    <row r="270" ht="12.75">
      <c r="A270" s="276"/>
    </row>
    <row r="271" ht="12.75">
      <c r="A271" s="276"/>
    </row>
    <row r="272" ht="12.75">
      <c r="A272" s="276"/>
    </row>
    <row r="273" ht="12.75">
      <c r="A273" s="276"/>
    </row>
    <row r="274" ht="12.75">
      <c r="A274" s="276"/>
    </row>
    <row r="275" ht="12.75">
      <c r="A275" s="276"/>
    </row>
    <row r="276" ht="12.75">
      <c r="A276" s="276"/>
    </row>
    <row r="277" ht="12.75">
      <c r="A277" s="276"/>
    </row>
    <row r="278" ht="12.75">
      <c r="A278" s="276"/>
    </row>
    <row r="279" ht="12.75">
      <c r="A279" s="276"/>
    </row>
    <row r="280" ht="12.75">
      <c r="A280" s="276"/>
    </row>
    <row r="281" ht="12.75">
      <c r="A281" s="276"/>
    </row>
  </sheetData>
  <mergeCells count="1">
    <mergeCell ref="K1:M1"/>
  </mergeCells>
  <printOptions/>
  <pageMargins left="0.75" right="0.75" top="1" bottom="1" header="0.5" footer="0.5"/>
  <pageSetup fitToHeight="4" fitToWidth="1" horizontalDpi="300" verticalDpi="3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2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28125" style="300" customWidth="1"/>
    <col min="2" max="2" width="28.140625" style="287" customWidth="1"/>
    <col min="3" max="3" width="5.8515625" style="300" customWidth="1"/>
    <col min="4" max="4" width="16.8515625" style="300" customWidth="1"/>
    <col min="5" max="5" width="13.8515625" style="300" customWidth="1"/>
    <col min="6" max="6" width="13.7109375" style="300" customWidth="1"/>
    <col min="7" max="7" width="5.57421875" style="305" customWidth="1"/>
    <col min="8" max="8" width="8.140625" style="300" customWidth="1"/>
    <col min="9" max="9" width="10.00390625" style="300" customWidth="1"/>
    <col min="10" max="10" width="5.8515625" style="300" customWidth="1"/>
    <col min="11" max="11" width="8.00390625" style="300" customWidth="1"/>
    <col min="12" max="12" width="10.28125" style="298" customWidth="1"/>
    <col min="13" max="16384" width="10.28125" style="287" customWidth="1"/>
  </cols>
  <sheetData>
    <row r="1" spans="1:11" ht="14.25">
      <c r="A1" s="476" t="s">
        <v>743</v>
      </c>
      <c r="B1" s="479" t="s">
        <v>437</v>
      </c>
      <c r="C1" s="480"/>
      <c r="D1" s="480" t="s">
        <v>438</v>
      </c>
      <c r="E1" s="480" t="s">
        <v>439</v>
      </c>
      <c r="F1" s="480" t="s">
        <v>440</v>
      </c>
      <c r="G1" s="481" t="s">
        <v>441</v>
      </c>
      <c r="H1" s="480" t="s">
        <v>442</v>
      </c>
      <c r="I1" s="480" t="s">
        <v>443</v>
      </c>
      <c r="J1" s="480" t="s">
        <v>444</v>
      </c>
      <c r="K1" s="482" t="s">
        <v>445</v>
      </c>
    </row>
    <row r="2" spans="1:14" ht="12.75">
      <c r="A2" s="279">
        <v>1</v>
      </c>
      <c r="B2" s="280" t="s">
        <v>22</v>
      </c>
      <c r="C2" s="299" t="s">
        <v>333</v>
      </c>
      <c r="D2" s="302">
        <v>37727.475694444445</v>
      </c>
      <c r="E2" s="304">
        <v>37742</v>
      </c>
      <c r="F2" s="304" t="s">
        <v>412</v>
      </c>
      <c r="G2" s="306" t="s">
        <v>297</v>
      </c>
      <c r="H2" s="299">
        <v>5</v>
      </c>
      <c r="I2" s="299">
        <v>0.3</v>
      </c>
      <c r="J2" s="299" t="s">
        <v>416</v>
      </c>
      <c r="K2" s="321" t="s">
        <v>417</v>
      </c>
      <c r="L2" s="314"/>
      <c r="M2" s="281"/>
      <c r="N2" s="297"/>
    </row>
    <row r="3" spans="1:14" ht="12.75">
      <c r="A3" s="279">
        <v>2</v>
      </c>
      <c r="B3" s="280" t="s">
        <v>152</v>
      </c>
      <c r="C3" s="299" t="s">
        <v>333</v>
      </c>
      <c r="D3" s="302">
        <v>37727.475694444445</v>
      </c>
      <c r="E3" s="304">
        <v>37742</v>
      </c>
      <c r="F3" s="304" t="s">
        <v>412</v>
      </c>
      <c r="G3" s="306">
        <v>1.8</v>
      </c>
      <c r="H3" s="299">
        <v>1</v>
      </c>
      <c r="I3" s="299">
        <v>0.7</v>
      </c>
      <c r="J3" s="299" t="s">
        <v>416</v>
      </c>
      <c r="K3" s="321" t="s">
        <v>418</v>
      </c>
      <c r="L3" s="314"/>
      <c r="M3" s="281"/>
      <c r="N3" s="297"/>
    </row>
    <row r="4" spans="1:14" ht="12.75">
      <c r="A4" s="279">
        <v>3</v>
      </c>
      <c r="B4" s="280" t="s">
        <v>203</v>
      </c>
      <c r="C4" s="299" t="s">
        <v>333</v>
      </c>
      <c r="D4" s="302">
        <v>37727.475694444445</v>
      </c>
      <c r="E4" s="304">
        <v>37742</v>
      </c>
      <c r="F4" s="304" t="s">
        <v>412</v>
      </c>
      <c r="G4" s="306" t="s">
        <v>297</v>
      </c>
      <c r="H4" s="299">
        <v>1</v>
      </c>
      <c r="I4" s="299">
        <v>0.4</v>
      </c>
      <c r="J4" s="299" t="s">
        <v>416</v>
      </c>
      <c r="K4" s="321" t="s">
        <v>417</v>
      </c>
      <c r="L4" s="314"/>
      <c r="M4" s="281"/>
      <c r="N4" s="297"/>
    </row>
    <row r="5" spans="1:14" ht="12.75">
      <c r="A5" s="279">
        <v>4</v>
      </c>
      <c r="B5" s="280" t="s">
        <v>204</v>
      </c>
      <c r="C5" s="299" t="s">
        <v>333</v>
      </c>
      <c r="D5" s="302">
        <v>37727.475694444445</v>
      </c>
      <c r="E5" s="304">
        <v>37742</v>
      </c>
      <c r="F5" s="304" t="s">
        <v>412</v>
      </c>
      <c r="G5" s="306" t="s">
        <v>297</v>
      </c>
      <c r="H5" s="299">
        <v>0.25</v>
      </c>
      <c r="I5" s="299">
        <v>0.03</v>
      </c>
      <c r="J5" s="299" t="s">
        <v>416</v>
      </c>
      <c r="K5" s="321" t="s">
        <v>417</v>
      </c>
      <c r="L5" s="314"/>
      <c r="M5" s="281"/>
      <c r="N5" s="297"/>
    </row>
    <row r="6" spans="1:14" ht="12.75">
      <c r="A6" s="279">
        <v>6</v>
      </c>
      <c r="B6" s="280" t="s">
        <v>239</v>
      </c>
      <c r="C6" s="299" t="s">
        <v>333</v>
      </c>
      <c r="D6" s="302">
        <v>37727.475694444445</v>
      </c>
      <c r="E6" s="304">
        <v>37742</v>
      </c>
      <c r="F6" s="304" t="s">
        <v>412</v>
      </c>
      <c r="G6" s="306">
        <v>2</v>
      </c>
      <c r="H6" s="299">
        <v>0.5</v>
      </c>
      <c r="I6" s="299">
        <v>0.5</v>
      </c>
      <c r="J6" s="299" t="s">
        <v>419</v>
      </c>
      <c r="K6" s="321" t="s">
        <v>418</v>
      </c>
      <c r="L6" s="314"/>
      <c r="M6" s="281"/>
      <c r="N6" s="297"/>
    </row>
    <row r="7" spans="1:14" ht="12.75">
      <c r="A7" s="279">
        <v>7</v>
      </c>
      <c r="B7" s="280" t="s">
        <v>206</v>
      </c>
      <c r="C7" s="299" t="s">
        <v>333</v>
      </c>
      <c r="D7" s="302">
        <v>37727.475694444445</v>
      </c>
      <c r="E7" s="304">
        <v>37742</v>
      </c>
      <c r="F7" s="304" t="s">
        <v>412</v>
      </c>
      <c r="G7" s="306" t="s">
        <v>297</v>
      </c>
      <c r="H7" s="299">
        <v>0.0005</v>
      </c>
      <c r="I7" s="299">
        <v>0.00046</v>
      </c>
      <c r="J7" s="299">
        <v>0.002</v>
      </c>
      <c r="K7" s="321" t="s">
        <v>334</v>
      </c>
      <c r="L7" s="315"/>
      <c r="M7" s="282"/>
      <c r="N7" s="297"/>
    </row>
    <row r="8" spans="1:14" ht="15.75" customHeight="1">
      <c r="A8" s="279">
        <v>8</v>
      </c>
      <c r="B8" s="283" t="s">
        <v>207</v>
      </c>
      <c r="C8" s="299" t="s">
        <v>333</v>
      </c>
      <c r="D8" s="302">
        <v>37727.475694444445</v>
      </c>
      <c r="E8" s="303">
        <v>37743</v>
      </c>
      <c r="F8" s="304" t="s">
        <v>335</v>
      </c>
      <c r="G8" s="306" t="s">
        <v>297</v>
      </c>
      <c r="H8" s="299">
        <v>0.0005</v>
      </c>
      <c r="I8" s="299">
        <v>1E-05</v>
      </c>
      <c r="J8" s="299">
        <v>1E-05</v>
      </c>
      <c r="K8" s="321" t="s">
        <v>417</v>
      </c>
      <c r="L8" s="316"/>
      <c r="M8" s="286"/>
      <c r="N8" s="297"/>
    </row>
    <row r="9" spans="1:14" ht="12.75">
      <c r="A9" s="279">
        <v>9</v>
      </c>
      <c r="B9" s="280" t="s">
        <v>208</v>
      </c>
      <c r="C9" s="299" t="s">
        <v>333</v>
      </c>
      <c r="D9" s="302">
        <v>37727.475694444445</v>
      </c>
      <c r="E9" s="304">
        <v>37742</v>
      </c>
      <c r="F9" s="304" t="s">
        <v>412</v>
      </c>
      <c r="G9" s="306" t="s">
        <v>297</v>
      </c>
      <c r="H9" s="299">
        <v>5</v>
      </c>
      <c r="I9" s="299">
        <v>0.5</v>
      </c>
      <c r="J9" s="299" t="s">
        <v>416</v>
      </c>
      <c r="K9" s="321" t="s">
        <v>417</v>
      </c>
      <c r="L9" s="317"/>
      <c r="M9" s="284"/>
      <c r="N9" s="297"/>
    </row>
    <row r="10" spans="1:14" ht="12.75">
      <c r="A10" s="279">
        <v>10</v>
      </c>
      <c r="B10" s="280" t="s">
        <v>209</v>
      </c>
      <c r="C10" s="299" t="s">
        <v>333</v>
      </c>
      <c r="D10" s="302">
        <v>37727.475694444445</v>
      </c>
      <c r="E10" s="304">
        <v>37742</v>
      </c>
      <c r="F10" s="304" t="s">
        <v>412</v>
      </c>
      <c r="G10" s="306" t="s">
        <v>297</v>
      </c>
      <c r="H10" s="299">
        <v>5</v>
      </c>
      <c r="I10" s="299">
        <v>0.3</v>
      </c>
      <c r="J10" s="299" t="s">
        <v>416</v>
      </c>
      <c r="K10" s="321" t="s">
        <v>417</v>
      </c>
      <c r="L10" s="317"/>
      <c r="M10" s="284"/>
      <c r="N10" s="297"/>
    </row>
    <row r="11" spans="1:14" ht="12.75">
      <c r="A11" s="279">
        <v>11</v>
      </c>
      <c r="B11" s="280" t="s">
        <v>210</v>
      </c>
      <c r="C11" s="299" t="s">
        <v>333</v>
      </c>
      <c r="D11" s="302">
        <v>37727.475694444445</v>
      </c>
      <c r="E11" s="304">
        <v>37742</v>
      </c>
      <c r="F11" s="304" t="s">
        <v>412</v>
      </c>
      <c r="G11" s="306" t="s">
        <v>297</v>
      </c>
      <c r="H11" s="299">
        <v>1</v>
      </c>
      <c r="I11" s="299">
        <v>0.09</v>
      </c>
      <c r="J11" s="299" t="s">
        <v>416</v>
      </c>
      <c r="K11" s="321" t="s">
        <v>417</v>
      </c>
      <c r="L11" s="317"/>
      <c r="M11" s="284"/>
      <c r="N11" s="297"/>
    </row>
    <row r="12" spans="1:14" ht="12.75">
      <c r="A12" s="279">
        <v>12</v>
      </c>
      <c r="B12" s="280" t="s">
        <v>28</v>
      </c>
      <c r="C12" s="299" t="s">
        <v>333</v>
      </c>
      <c r="D12" s="302">
        <v>37727.475694444445</v>
      </c>
      <c r="E12" s="304">
        <v>37742</v>
      </c>
      <c r="F12" s="304" t="s">
        <v>412</v>
      </c>
      <c r="G12" s="306" t="s">
        <v>297</v>
      </c>
      <c r="H12" s="299">
        <v>1</v>
      </c>
      <c r="I12" s="299">
        <v>0.2</v>
      </c>
      <c r="J12" s="299" t="s">
        <v>416</v>
      </c>
      <c r="K12" s="321" t="s">
        <v>417</v>
      </c>
      <c r="L12" s="317"/>
      <c r="M12" s="284"/>
      <c r="N12" s="297"/>
    </row>
    <row r="13" spans="1:14" ht="12.75">
      <c r="A13" s="279">
        <v>13</v>
      </c>
      <c r="B13" s="280" t="s">
        <v>211</v>
      </c>
      <c r="C13" s="299" t="s">
        <v>333</v>
      </c>
      <c r="D13" s="302">
        <v>37727.475694444445</v>
      </c>
      <c r="E13" s="304">
        <v>37742</v>
      </c>
      <c r="F13" s="304" t="s">
        <v>412</v>
      </c>
      <c r="G13" s="306" t="s">
        <v>297</v>
      </c>
      <c r="H13" s="299">
        <v>10</v>
      </c>
      <c r="I13" s="299">
        <v>9</v>
      </c>
      <c r="J13" s="299" t="s">
        <v>420</v>
      </c>
      <c r="K13" s="321" t="s">
        <v>417</v>
      </c>
      <c r="L13" s="314"/>
      <c r="M13" s="281"/>
      <c r="N13" s="297"/>
    </row>
    <row r="14" spans="1:14" ht="12.75">
      <c r="A14" s="279">
        <v>14</v>
      </c>
      <c r="B14" s="280" t="s">
        <v>336</v>
      </c>
      <c r="C14" s="299" t="s">
        <v>333</v>
      </c>
      <c r="D14" s="302">
        <v>37727.475694444445</v>
      </c>
      <c r="E14" s="304">
        <v>37741</v>
      </c>
      <c r="F14" s="304" t="s">
        <v>413</v>
      </c>
      <c r="G14" s="306" t="s">
        <v>297</v>
      </c>
      <c r="H14" s="299">
        <v>0.005</v>
      </c>
      <c r="I14" s="299">
        <v>0.03</v>
      </c>
      <c r="J14" s="299">
        <v>0.005</v>
      </c>
      <c r="K14" s="321" t="s">
        <v>334</v>
      </c>
      <c r="L14" s="314"/>
      <c r="M14" s="282"/>
      <c r="N14" s="297"/>
    </row>
    <row r="15" spans="1:14" ht="25.5">
      <c r="A15" s="279">
        <v>15</v>
      </c>
      <c r="B15" s="283" t="s">
        <v>29</v>
      </c>
      <c r="C15" s="299" t="s">
        <v>333</v>
      </c>
      <c r="D15" s="302">
        <v>37727.475694444445</v>
      </c>
      <c r="E15" s="303">
        <v>37740</v>
      </c>
      <c r="F15" s="303" t="s">
        <v>337</v>
      </c>
      <c r="G15" s="307" t="s">
        <v>297</v>
      </c>
      <c r="H15" s="322" t="s">
        <v>338</v>
      </c>
      <c r="I15" s="322"/>
      <c r="J15" s="322">
        <v>0.021</v>
      </c>
      <c r="K15" s="323" t="s">
        <v>421</v>
      </c>
      <c r="L15" s="318"/>
      <c r="M15" s="288"/>
      <c r="N15" s="297"/>
    </row>
    <row r="16" spans="1:14" ht="12.75">
      <c r="A16" s="279">
        <v>16</v>
      </c>
      <c r="B16" s="283" t="s">
        <v>303</v>
      </c>
      <c r="C16" s="299" t="s">
        <v>333</v>
      </c>
      <c r="D16" s="302">
        <v>37727</v>
      </c>
      <c r="E16" s="303">
        <v>37740</v>
      </c>
      <c r="F16" s="303" t="s">
        <v>751</v>
      </c>
      <c r="G16" s="307" t="s">
        <v>297</v>
      </c>
      <c r="H16" s="322"/>
      <c r="I16" s="322" t="s">
        <v>752</v>
      </c>
      <c r="J16" s="322"/>
      <c r="K16" s="323"/>
      <c r="L16" s="318"/>
      <c r="M16" s="288"/>
      <c r="N16" s="297"/>
    </row>
    <row r="17" spans="1:14" ht="12.75">
      <c r="A17" s="279">
        <v>17</v>
      </c>
      <c r="B17" s="280" t="s">
        <v>30</v>
      </c>
      <c r="C17" s="299" t="s">
        <v>333</v>
      </c>
      <c r="D17" s="302" t="s">
        <v>182</v>
      </c>
      <c r="E17" s="302" t="s">
        <v>182</v>
      </c>
      <c r="F17" s="304" t="s">
        <v>344</v>
      </c>
      <c r="G17" s="306" t="s">
        <v>182</v>
      </c>
      <c r="H17" s="299">
        <v>5</v>
      </c>
      <c r="I17" s="299" t="s">
        <v>422</v>
      </c>
      <c r="J17" s="299" t="s">
        <v>423</v>
      </c>
      <c r="K17" s="321" t="s">
        <v>417</v>
      </c>
      <c r="L17" s="314"/>
      <c r="M17" s="281"/>
      <c r="N17" s="297"/>
    </row>
    <row r="18" spans="1:14" ht="12.75">
      <c r="A18" s="279">
        <v>18</v>
      </c>
      <c r="B18" s="280" t="s">
        <v>31</v>
      </c>
      <c r="C18" s="299" t="s">
        <v>333</v>
      </c>
      <c r="D18" s="302" t="s">
        <v>182</v>
      </c>
      <c r="E18" s="302" t="s">
        <v>182</v>
      </c>
      <c r="F18" s="304" t="s">
        <v>344</v>
      </c>
      <c r="G18" s="306" t="s">
        <v>182</v>
      </c>
      <c r="H18" s="299">
        <v>2</v>
      </c>
      <c r="I18" s="299" t="s">
        <v>424</v>
      </c>
      <c r="J18" s="299" t="s">
        <v>425</v>
      </c>
      <c r="K18" s="321" t="s">
        <v>417</v>
      </c>
      <c r="L18" s="314"/>
      <c r="M18" s="281"/>
      <c r="N18" s="297"/>
    </row>
    <row r="19" spans="1:14" ht="12.75">
      <c r="A19" s="279">
        <v>19</v>
      </c>
      <c r="B19" s="280" t="s">
        <v>32</v>
      </c>
      <c r="C19" s="299" t="s">
        <v>333</v>
      </c>
      <c r="D19" s="302">
        <v>37727.475694444445</v>
      </c>
      <c r="E19" s="304">
        <v>37733</v>
      </c>
      <c r="F19" s="304" t="s">
        <v>344</v>
      </c>
      <c r="G19" s="306" t="s">
        <v>297</v>
      </c>
      <c r="H19" s="299">
        <v>0.5</v>
      </c>
      <c r="I19" s="299" t="s">
        <v>307</v>
      </c>
      <c r="J19" s="299" t="s">
        <v>304</v>
      </c>
      <c r="K19" s="321" t="s">
        <v>417</v>
      </c>
      <c r="L19" s="314"/>
      <c r="M19" s="281"/>
      <c r="N19" s="297"/>
    </row>
    <row r="20" spans="1:14" ht="12.75">
      <c r="A20" s="279">
        <v>20</v>
      </c>
      <c r="B20" s="280" t="s">
        <v>33</v>
      </c>
      <c r="C20" s="299" t="s">
        <v>333</v>
      </c>
      <c r="D20" s="302">
        <v>37727.475694444445</v>
      </c>
      <c r="E20" s="304">
        <v>37733</v>
      </c>
      <c r="F20" s="304" t="s">
        <v>344</v>
      </c>
      <c r="G20" s="306" t="s">
        <v>297</v>
      </c>
      <c r="H20" s="299">
        <v>2</v>
      </c>
      <c r="I20" s="299" t="s">
        <v>308</v>
      </c>
      <c r="J20" s="299" t="s">
        <v>304</v>
      </c>
      <c r="K20" s="321" t="s">
        <v>417</v>
      </c>
      <c r="L20" s="314"/>
      <c r="M20" s="281"/>
      <c r="N20" s="297"/>
    </row>
    <row r="21" spans="1:14" ht="12.75">
      <c r="A21" s="279">
        <v>21</v>
      </c>
      <c r="B21" s="280" t="s">
        <v>339</v>
      </c>
      <c r="C21" s="299" t="s">
        <v>333</v>
      </c>
      <c r="D21" s="302">
        <v>37727.475694444445</v>
      </c>
      <c r="E21" s="304">
        <v>37733</v>
      </c>
      <c r="F21" s="304" t="s">
        <v>344</v>
      </c>
      <c r="G21" s="306" t="s">
        <v>297</v>
      </c>
      <c r="H21" s="299">
        <v>0.5</v>
      </c>
      <c r="I21" s="299" t="s">
        <v>309</v>
      </c>
      <c r="J21" s="299" t="s">
        <v>304</v>
      </c>
      <c r="K21" s="321" t="s">
        <v>417</v>
      </c>
      <c r="L21" s="314"/>
      <c r="M21" s="281"/>
      <c r="N21" s="297"/>
    </row>
    <row r="22" spans="1:14" ht="12.75">
      <c r="A22" s="279">
        <v>22</v>
      </c>
      <c r="B22" s="280" t="s">
        <v>35</v>
      </c>
      <c r="C22" s="299" t="s">
        <v>333</v>
      </c>
      <c r="D22" s="302">
        <v>37727.475694444445</v>
      </c>
      <c r="E22" s="304">
        <v>37733</v>
      </c>
      <c r="F22" s="304" t="s">
        <v>344</v>
      </c>
      <c r="G22" s="306" t="s">
        <v>297</v>
      </c>
      <c r="H22" s="299">
        <v>2</v>
      </c>
      <c r="I22" s="299" t="s">
        <v>310</v>
      </c>
      <c r="J22" s="299" t="s">
        <v>304</v>
      </c>
      <c r="K22" s="321" t="s">
        <v>417</v>
      </c>
      <c r="L22" s="314"/>
      <c r="M22" s="281"/>
      <c r="N22" s="297"/>
    </row>
    <row r="23" spans="1:14" ht="12.75">
      <c r="A23" s="279">
        <v>23</v>
      </c>
      <c r="B23" s="280" t="s">
        <v>340</v>
      </c>
      <c r="C23" s="299" t="s">
        <v>333</v>
      </c>
      <c r="D23" s="302">
        <v>37727.475694444445</v>
      </c>
      <c r="E23" s="304">
        <v>37733</v>
      </c>
      <c r="F23" s="304" t="s">
        <v>344</v>
      </c>
      <c r="G23" s="306" t="s">
        <v>297</v>
      </c>
      <c r="H23" s="299">
        <v>0.5</v>
      </c>
      <c r="I23" s="299" t="s">
        <v>311</v>
      </c>
      <c r="J23" s="299" t="s">
        <v>304</v>
      </c>
      <c r="K23" s="321" t="s">
        <v>417</v>
      </c>
      <c r="L23" s="314"/>
      <c r="M23" s="281"/>
      <c r="N23" s="297"/>
    </row>
    <row r="24" spans="1:14" ht="12.75">
      <c r="A24" s="279">
        <v>24</v>
      </c>
      <c r="B24" s="280" t="s">
        <v>37</v>
      </c>
      <c r="C24" s="299" t="s">
        <v>333</v>
      </c>
      <c r="D24" s="302">
        <v>37727.475694444445</v>
      </c>
      <c r="E24" s="304">
        <v>37733</v>
      </c>
      <c r="F24" s="304" t="s">
        <v>344</v>
      </c>
      <c r="G24" s="306" t="s">
        <v>297</v>
      </c>
      <c r="H24" s="299">
        <v>2</v>
      </c>
      <c r="I24" s="299" t="s">
        <v>312</v>
      </c>
      <c r="J24" s="299" t="s">
        <v>304</v>
      </c>
      <c r="K24" s="321" t="s">
        <v>417</v>
      </c>
      <c r="L24" s="314"/>
      <c r="M24" s="281"/>
      <c r="N24" s="297"/>
    </row>
    <row r="25" spans="1:14" ht="12.75">
      <c r="A25" s="279">
        <v>25</v>
      </c>
      <c r="B25" s="280" t="s">
        <v>38</v>
      </c>
      <c r="C25" s="299" t="s">
        <v>333</v>
      </c>
      <c r="D25" s="302" t="s">
        <v>182</v>
      </c>
      <c r="E25" s="302" t="s">
        <v>182</v>
      </c>
      <c r="F25" s="304" t="s">
        <v>344</v>
      </c>
      <c r="G25" s="306" t="s">
        <v>182</v>
      </c>
      <c r="H25" s="299">
        <v>1</v>
      </c>
      <c r="I25" s="299" t="s">
        <v>304</v>
      </c>
      <c r="J25" s="299" t="s">
        <v>304</v>
      </c>
      <c r="K25" s="321" t="s">
        <v>417</v>
      </c>
      <c r="L25" s="314"/>
      <c r="M25" s="281"/>
      <c r="N25" s="297"/>
    </row>
    <row r="26" spans="1:14" ht="12.75">
      <c r="A26" s="279">
        <v>26</v>
      </c>
      <c r="B26" s="280" t="s">
        <v>39</v>
      </c>
      <c r="C26" s="299" t="s">
        <v>333</v>
      </c>
      <c r="D26" s="302">
        <v>37727.475694444445</v>
      </c>
      <c r="E26" s="304">
        <v>37733</v>
      </c>
      <c r="F26" s="304" t="s">
        <v>344</v>
      </c>
      <c r="G26" s="306">
        <v>18</v>
      </c>
      <c r="H26" s="299">
        <v>0.5</v>
      </c>
      <c r="I26" s="299" t="s">
        <v>315</v>
      </c>
      <c r="J26" s="299" t="s">
        <v>304</v>
      </c>
      <c r="K26" s="321" t="s">
        <v>417</v>
      </c>
      <c r="L26" s="314"/>
      <c r="M26" s="281"/>
      <c r="N26" s="297"/>
    </row>
    <row r="27" spans="1:14" ht="12.75">
      <c r="A27" s="279">
        <v>27</v>
      </c>
      <c r="B27" s="280" t="s">
        <v>341</v>
      </c>
      <c r="C27" s="299" t="s">
        <v>333</v>
      </c>
      <c r="D27" s="302">
        <v>37727.475694444445</v>
      </c>
      <c r="E27" s="304">
        <v>37733</v>
      </c>
      <c r="F27" s="304" t="s">
        <v>344</v>
      </c>
      <c r="G27" s="306">
        <v>1.9</v>
      </c>
      <c r="H27" s="299">
        <v>0.5</v>
      </c>
      <c r="I27" s="299" t="s">
        <v>320</v>
      </c>
      <c r="J27" s="299" t="s">
        <v>304</v>
      </c>
      <c r="K27" s="321" t="s">
        <v>417</v>
      </c>
      <c r="L27" s="314"/>
      <c r="M27" s="281"/>
      <c r="N27" s="297"/>
    </row>
    <row r="28" spans="1:14" ht="12.75">
      <c r="A28" s="279">
        <v>28</v>
      </c>
      <c r="B28" s="280" t="s">
        <v>41</v>
      </c>
      <c r="C28" s="299" t="s">
        <v>333</v>
      </c>
      <c r="D28" s="302">
        <v>37727.475694444445</v>
      </c>
      <c r="E28" s="304">
        <v>37733</v>
      </c>
      <c r="F28" s="304" t="s">
        <v>344</v>
      </c>
      <c r="G28" s="306" t="s">
        <v>297</v>
      </c>
      <c r="H28" s="299">
        <v>1</v>
      </c>
      <c r="I28" s="299" t="s">
        <v>313</v>
      </c>
      <c r="J28" s="299" t="s">
        <v>304</v>
      </c>
      <c r="K28" s="321" t="s">
        <v>417</v>
      </c>
      <c r="L28" s="314"/>
      <c r="M28" s="281"/>
      <c r="N28" s="297"/>
    </row>
    <row r="29" spans="1:14" ht="12.75">
      <c r="A29" s="279">
        <v>29</v>
      </c>
      <c r="B29" s="280" t="s">
        <v>42</v>
      </c>
      <c r="C29" s="299" t="s">
        <v>333</v>
      </c>
      <c r="D29" s="302">
        <v>37727.475694444445</v>
      </c>
      <c r="E29" s="304">
        <v>37733</v>
      </c>
      <c r="F29" s="304" t="s">
        <v>344</v>
      </c>
      <c r="G29" s="306" t="s">
        <v>297</v>
      </c>
      <c r="H29" s="299">
        <v>0.5</v>
      </c>
      <c r="I29" s="299" t="s">
        <v>314</v>
      </c>
      <c r="J29" s="299" t="s">
        <v>304</v>
      </c>
      <c r="K29" s="321" t="s">
        <v>417</v>
      </c>
      <c r="L29" s="314"/>
      <c r="M29" s="281"/>
      <c r="N29" s="297"/>
    </row>
    <row r="30" spans="1:14" ht="12.75">
      <c r="A30" s="279">
        <v>30</v>
      </c>
      <c r="B30" s="280" t="s">
        <v>342</v>
      </c>
      <c r="C30" s="299" t="s">
        <v>333</v>
      </c>
      <c r="D30" s="302">
        <v>37727.475694444445</v>
      </c>
      <c r="E30" s="304">
        <v>37733</v>
      </c>
      <c r="F30" s="304" t="s">
        <v>344</v>
      </c>
      <c r="G30" s="306" t="s">
        <v>297</v>
      </c>
      <c r="H30" s="299">
        <v>0.5</v>
      </c>
      <c r="I30" s="299" t="s">
        <v>305</v>
      </c>
      <c r="J30" s="299" t="s">
        <v>304</v>
      </c>
      <c r="K30" s="321" t="s">
        <v>417</v>
      </c>
      <c r="L30" s="314"/>
      <c r="M30" s="281"/>
      <c r="N30" s="297"/>
    </row>
    <row r="31" spans="1:14" ht="12.75">
      <c r="A31" s="279">
        <v>31</v>
      </c>
      <c r="B31" s="280" t="s">
        <v>44</v>
      </c>
      <c r="C31" s="299" t="s">
        <v>333</v>
      </c>
      <c r="D31" s="302">
        <v>37727.475694444445</v>
      </c>
      <c r="E31" s="304">
        <v>37733</v>
      </c>
      <c r="F31" s="304" t="s">
        <v>344</v>
      </c>
      <c r="G31" s="306" t="s">
        <v>297</v>
      </c>
      <c r="H31" s="299">
        <v>0.5</v>
      </c>
      <c r="I31" s="299" t="s">
        <v>315</v>
      </c>
      <c r="J31" s="299" t="s">
        <v>304</v>
      </c>
      <c r="K31" s="321" t="s">
        <v>417</v>
      </c>
      <c r="L31" s="314"/>
      <c r="M31" s="281"/>
      <c r="N31" s="297"/>
    </row>
    <row r="32" spans="1:14" ht="12.75">
      <c r="A32" s="279">
        <v>32</v>
      </c>
      <c r="B32" s="283" t="s">
        <v>343</v>
      </c>
      <c r="C32" s="299" t="s">
        <v>333</v>
      </c>
      <c r="D32" s="302" t="s">
        <v>182</v>
      </c>
      <c r="E32" s="302" t="s">
        <v>182</v>
      </c>
      <c r="F32" s="304" t="s">
        <v>344</v>
      </c>
      <c r="G32" s="306" t="s">
        <v>182</v>
      </c>
      <c r="H32" s="299">
        <v>0.5</v>
      </c>
      <c r="I32" s="299">
        <v>0.08</v>
      </c>
      <c r="J32" s="299">
        <v>0.5</v>
      </c>
      <c r="K32" s="321"/>
      <c r="L32" s="319"/>
      <c r="M32" s="289"/>
      <c r="N32" s="297"/>
    </row>
    <row r="33" spans="1:14" ht="12.75">
      <c r="A33" s="279">
        <v>33</v>
      </c>
      <c r="B33" s="280" t="s">
        <v>46</v>
      </c>
      <c r="C33" s="299" t="s">
        <v>333</v>
      </c>
      <c r="D33" s="302">
        <v>37727.475694444445</v>
      </c>
      <c r="E33" s="304">
        <v>37733</v>
      </c>
      <c r="F33" s="304" t="s">
        <v>344</v>
      </c>
      <c r="G33" s="306" t="s">
        <v>297</v>
      </c>
      <c r="H33" s="299">
        <v>2</v>
      </c>
      <c r="I33" s="299" t="s">
        <v>306</v>
      </c>
      <c r="J33" s="299" t="s">
        <v>304</v>
      </c>
      <c r="K33" s="321" t="s">
        <v>417</v>
      </c>
      <c r="L33" s="314"/>
      <c r="M33" s="281"/>
      <c r="N33" s="297"/>
    </row>
    <row r="34" spans="1:14" ht="12.75">
      <c r="A34" s="279">
        <v>34</v>
      </c>
      <c r="B34" s="280" t="s">
        <v>345</v>
      </c>
      <c r="C34" s="299" t="s">
        <v>333</v>
      </c>
      <c r="D34" s="302">
        <v>37727.475694444445</v>
      </c>
      <c r="E34" s="304">
        <v>37733</v>
      </c>
      <c r="F34" s="304" t="s">
        <v>344</v>
      </c>
      <c r="G34" s="306" t="s">
        <v>297</v>
      </c>
      <c r="H34" s="299">
        <v>2</v>
      </c>
      <c r="I34" s="299" t="s">
        <v>316</v>
      </c>
      <c r="J34" s="299">
        <v>1</v>
      </c>
      <c r="K34" s="321" t="s">
        <v>417</v>
      </c>
      <c r="L34" s="314"/>
      <c r="M34" s="290"/>
      <c r="N34" s="297"/>
    </row>
    <row r="35" spans="1:14" ht="12.75">
      <c r="A35" s="279">
        <v>35</v>
      </c>
      <c r="B35" s="280" t="s">
        <v>346</v>
      </c>
      <c r="C35" s="299" t="s">
        <v>333</v>
      </c>
      <c r="D35" s="302">
        <v>37727.475694444445</v>
      </c>
      <c r="E35" s="304">
        <v>37733</v>
      </c>
      <c r="F35" s="304" t="s">
        <v>344</v>
      </c>
      <c r="G35" s="306" t="s">
        <v>297</v>
      </c>
      <c r="H35" s="324">
        <v>2</v>
      </c>
      <c r="I35" s="324" t="s">
        <v>317</v>
      </c>
      <c r="J35" s="324" t="s">
        <v>304</v>
      </c>
      <c r="K35" s="325" t="s">
        <v>417</v>
      </c>
      <c r="L35" s="314"/>
      <c r="M35" s="281"/>
      <c r="N35" s="297"/>
    </row>
    <row r="36" spans="1:14" ht="12.75">
      <c r="A36" s="279">
        <v>36</v>
      </c>
      <c r="B36" s="280" t="s">
        <v>49</v>
      </c>
      <c r="C36" s="299" t="s">
        <v>333</v>
      </c>
      <c r="D36" s="302">
        <v>37727.475694444445</v>
      </c>
      <c r="E36" s="304">
        <v>37733</v>
      </c>
      <c r="F36" s="304" t="s">
        <v>344</v>
      </c>
      <c r="G36" s="306" t="s">
        <v>297</v>
      </c>
      <c r="H36" s="299">
        <v>2</v>
      </c>
      <c r="I36" s="299" t="s">
        <v>318</v>
      </c>
      <c r="J36" s="299">
        <v>0.5</v>
      </c>
      <c r="K36" s="321" t="s">
        <v>417</v>
      </c>
      <c r="L36" s="314"/>
      <c r="M36" s="291"/>
      <c r="N36" s="297"/>
    </row>
    <row r="37" spans="1:14" ht="12.75">
      <c r="A37" s="279">
        <v>37</v>
      </c>
      <c r="B37" s="280" t="s">
        <v>50</v>
      </c>
      <c r="C37" s="299" t="s">
        <v>333</v>
      </c>
      <c r="D37" s="302">
        <v>37727.475694444445</v>
      </c>
      <c r="E37" s="304">
        <v>37733</v>
      </c>
      <c r="F37" s="304" t="s">
        <v>344</v>
      </c>
      <c r="G37" s="306" t="s">
        <v>297</v>
      </c>
      <c r="H37" s="299">
        <v>0.5</v>
      </c>
      <c r="I37" s="299" t="s">
        <v>315</v>
      </c>
      <c r="J37" s="299" t="s">
        <v>304</v>
      </c>
      <c r="K37" s="321" t="s">
        <v>417</v>
      </c>
      <c r="L37" s="314"/>
      <c r="M37" s="281"/>
      <c r="N37" s="297"/>
    </row>
    <row r="38" spans="1:14" ht="12.75">
      <c r="A38" s="279">
        <v>38</v>
      </c>
      <c r="B38" s="280" t="s">
        <v>347</v>
      </c>
      <c r="C38" s="299" t="s">
        <v>333</v>
      </c>
      <c r="D38" s="302">
        <v>37727.475694444445</v>
      </c>
      <c r="E38" s="304">
        <v>37733</v>
      </c>
      <c r="F38" s="304" t="s">
        <v>344</v>
      </c>
      <c r="G38" s="306" t="s">
        <v>297</v>
      </c>
      <c r="H38" s="299">
        <v>0.5</v>
      </c>
      <c r="I38" s="299" t="s">
        <v>307</v>
      </c>
      <c r="J38" s="299" t="s">
        <v>304</v>
      </c>
      <c r="K38" s="321" t="s">
        <v>417</v>
      </c>
      <c r="L38" s="314"/>
      <c r="M38" s="281"/>
      <c r="N38" s="297"/>
    </row>
    <row r="39" spans="1:14" ht="12.75">
      <c r="A39" s="279">
        <v>39</v>
      </c>
      <c r="B39" s="280" t="s">
        <v>52</v>
      </c>
      <c r="C39" s="299" t="s">
        <v>333</v>
      </c>
      <c r="D39" s="302">
        <v>37727.475694444445</v>
      </c>
      <c r="E39" s="304">
        <v>37733</v>
      </c>
      <c r="F39" s="304" t="s">
        <v>344</v>
      </c>
      <c r="G39" s="306" t="s">
        <v>297</v>
      </c>
      <c r="H39" s="299">
        <v>2</v>
      </c>
      <c r="I39" s="299" t="s">
        <v>316</v>
      </c>
      <c r="J39" s="299" t="s">
        <v>304</v>
      </c>
      <c r="K39" s="321" t="s">
        <v>417</v>
      </c>
      <c r="L39" s="314"/>
      <c r="M39" s="281"/>
      <c r="N39" s="297"/>
    </row>
    <row r="40" spans="1:14" ht="12.75">
      <c r="A40" s="279">
        <v>40</v>
      </c>
      <c r="B40" s="280" t="s">
        <v>348</v>
      </c>
      <c r="C40" s="299" t="s">
        <v>333</v>
      </c>
      <c r="D40" s="302">
        <v>37727.475694444445</v>
      </c>
      <c r="E40" s="304">
        <v>37733</v>
      </c>
      <c r="F40" s="304" t="s">
        <v>344</v>
      </c>
      <c r="G40" s="306" t="s">
        <v>297</v>
      </c>
      <c r="H40" s="299">
        <v>1</v>
      </c>
      <c r="I40" s="299" t="s">
        <v>306</v>
      </c>
      <c r="J40" s="299" t="s">
        <v>304</v>
      </c>
      <c r="K40" s="321" t="s">
        <v>417</v>
      </c>
      <c r="L40" s="314"/>
      <c r="M40" s="281"/>
      <c r="N40" s="297"/>
    </row>
    <row r="41" spans="1:14" ht="12.75">
      <c r="A41" s="279">
        <v>41</v>
      </c>
      <c r="B41" s="280" t="s">
        <v>54</v>
      </c>
      <c r="C41" s="299" t="s">
        <v>333</v>
      </c>
      <c r="D41" s="302">
        <v>37727.475694444445</v>
      </c>
      <c r="E41" s="304">
        <v>37733</v>
      </c>
      <c r="F41" s="304" t="s">
        <v>344</v>
      </c>
      <c r="G41" s="306" t="s">
        <v>297</v>
      </c>
      <c r="H41" s="299">
        <v>2</v>
      </c>
      <c r="I41" s="299" t="s">
        <v>313</v>
      </c>
      <c r="J41" s="299" t="s">
        <v>304</v>
      </c>
      <c r="K41" s="321" t="s">
        <v>417</v>
      </c>
      <c r="L41" s="314"/>
      <c r="M41" s="281"/>
      <c r="N41" s="297"/>
    </row>
    <row r="42" spans="1:14" ht="12.75">
      <c r="A42" s="279">
        <v>42</v>
      </c>
      <c r="B42" s="280" t="s">
        <v>55</v>
      </c>
      <c r="C42" s="299" t="s">
        <v>333</v>
      </c>
      <c r="D42" s="302">
        <v>37727.475694444445</v>
      </c>
      <c r="E42" s="304">
        <v>37733</v>
      </c>
      <c r="F42" s="304" t="s">
        <v>344</v>
      </c>
      <c r="G42" s="306" t="s">
        <v>297</v>
      </c>
      <c r="H42" s="299">
        <v>0.5</v>
      </c>
      <c r="I42" s="299" t="s">
        <v>314</v>
      </c>
      <c r="J42" s="299" t="s">
        <v>304</v>
      </c>
      <c r="K42" s="321" t="s">
        <v>417</v>
      </c>
      <c r="L42" s="314"/>
      <c r="M42" s="281"/>
      <c r="N42" s="297"/>
    </row>
    <row r="43" spans="1:14" ht="12.75">
      <c r="A43" s="279">
        <v>43</v>
      </c>
      <c r="B43" s="280" t="s">
        <v>349</v>
      </c>
      <c r="C43" s="299" t="s">
        <v>333</v>
      </c>
      <c r="D43" s="302">
        <v>37727.475694444445</v>
      </c>
      <c r="E43" s="304">
        <v>37733</v>
      </c>
      <c r="F43" s="304" t="s">
        <v>344</v>
      </c>
      <c r="G43" s="306" t="s">
        <v>297</v>
      </c>
      <c r="H43" s="299">
        <v>2</v>
      </c>
      <c r="I43" s="299" t="s">
        <v>305</v>
      </c>
      <c r="J43" s="299" t="s">
        <v>304</v>
      </c>
      <c r="K43" s="321" t="s">
        <v>417</v>
      </c>
      <c r="L43" s="314"/>
      <c r="M43" s="281"/>
      <c r="N43" s="297"/>
    </row>
    <row r="44" spans="1:14" ht="12.75">
      <c r="A44" s="279">
        <v>44</v>
      </c>
      <c r="B44" s="280" t="s">
        <v>350</v>
      </c>
      <c r="C44" s="299" t="s">
        <v>333</v>
      </c>
      <c r="D44" s="302">
        <v>37727.475694444445</v>
      </c>
      <c r="E44" s="304">
        <v>37733</v>
      </c>
      <c r="F44" s="304" t="s">
        <v>344</v>
      </c>
      <c r="G44" s="306" t="s">
        <v>297</v>
      </c>
      <c r="H44" s="299">
        <v>0.5</v>
      </c>
      <c r="I44" s="299" t="s">
        <v>319</v>
      </c>
      <c r="J44" s="299" t="s">
        <v>304</v>
      </c>
      <c r="K44" s="321" t="s">
        <v>417</v>
      </c>
      <c r="L44" s="314"/>
      <c r="M44" s="281"/>
      <c r="N44" s="297"/>
    </row>
    <row r="45" spans="1:14" ht="12.75">
      <c r="A45" s="279">
        <v>45</v>
      </c>
      <c r="B45" s="280" t="s">
        <v>58</v>
      </c>
      <c r="C45" s="299" t="s">
        <v>333</v>
      </c>
      <c r="D45" s="302">
        <v>37727.475694444445</v>
      </c>
      <c r="E45" s="304">
        <v>38116</v>
      </c>
      <c r="F45" s="304" t="s">
        <v>351</v>
      </c>
      <c r="G45" s="306" t="s">
        <v>297</v>
      </c>
      <c r="H45" s="299">
        <v>2</v>
      </c>
      <c r="I45" s="299">
        <v>0.8</v>
      </c>
      <c r="J45" s="299">
        <v>4.8</v>
      </c>
      <c r="K45" s="321" t="s">
        <v>417</v>
      </c>
      <c r="L45" s="320"/>
      <c r="M45" s="290"/>
      <c r="N45" s="297"/>
    </row>
    <row r="46" spans="1:14" ht="12.75">
      <c r="A46" s="279">
        <v>46</v>
      </c>
      <c r="B46" s="280" t="s">
        <v>59</v>
      </c>
      <c r="C46" s="299" t="s">
        <v>333</v>
      </c>
      <c r="D46" s="302">
        <v>37727.475694444445</v>
      </c>
      <c r="E46" s="304">
        <v>38116</v>
      </c>
      <c r="F46" s="304" t="s">
        <v>351</v>
      </c>
      <c r="G46" s="306" t="s">
        <v>297</v>
      </c>
      <c r="H46" s="299">
        <v>1</v>
      </c>
      <c r="I46" s="299">
        <v>0.6</v>
      </c>
      <c r="J46" s="299">
        <v>4.8</v>
      </c>
      <c r="K46" s="321" t="s">
        <v>417</v>
      </c>
      <c r="L46" s="320"/>
      <c r="M46" s="290"/>
      <c r="N46" s="297"/>
    </row>
    <row r="47" spans="1:14" ht="12.75">
      <c r="A47" s="279">
        <v>47</v>
      </c>
      <c r="B47" s="280" t="s">
        <v>60</v>
      </c>
      <c r="C47" s="299" t="s">
        <v>333</v>
      </c>
      <c r="D47" s="302">
        <v>37727.475694444445</v>
      </c>
      <c r="E47" s="304">
        <v>38116</v>
      </c>
      <c r="F47" s="304" t="s">
        <v>351</v>
      </c>
      <c r="G47" s="306" t="s">
        <v>297</v>
      </c>
      <c r="H47" s="299">
        <v>2</v>
      </c>
      <c r="I47" s="299">
        <v>1</v>
      </c>
      <c r="J47" s="299">
        <v>9.6</v>
      </c>
      <c r="K47" s="321" t="s">
        <v>417</v>
      </c>
      <c r="L47" s="320"/>
      <c r="M47" s="290"/>
      <c r="N47" s="297"/>
    </row>
    <row r="48" spans="1:14" ht="12.75">
      <c r="A48" s="279">
        <v>48</v>
      </c>
      <c r="B48" s="280" t="s">
        <v>352</v>
      </c>
      <c r="C48" s="299" t="s">
        <v>333</v>
      </c>
      <c r="D48" s="302">
        <v>37727.475694444445</v>
      </c>
      <c r="E48" s="304">
        <v>38116</v>
      </c>
      <c r="F48" s="304" t="s">
        <v>351</v>
      </c>
      <c r="G48" s="306" t="s">
        <v>297</v>
      </c>
      <c r="H48" s="299">
        <v>10</v>
      </c>
      <c r="I48" s="299">
        <v>1</v>
      </c>
      <c r="J48" s="299">
        <v>4.8</v>
      </c>
      <c r="K48" s="321" t="s">
        <v>417</v>
      </c>
      <c r="L48" s="320"/>
      <c r="M48" s="290"/>
      <c r="N48" s="297"/>
    </row>
    <row r="49" spans="1:14" ht="12.75">
      <c r="A49" s="279">
        <v>49</v>
      </c>
      <c r="B49" s="280" t="s">
        <v>62</v>
      </c>
      <c r="C49" s="299" t="s">
        <v>333</v>
      </c>
      <c r="D49" s="302">
        <v>37727.475694444445</v>
      </c>
      <c r="E49" s="304">
        <v>38116</v>
      </c>
      <c r="F49" s="304" t="s">
        <v>351</v>
      </c>
      <c r="G49" s="306" t="s">
        <v>297</v>
      </c>
      <c r="H49" s="299">
        <v>5</v>
      </c>
      <c r="I49" s="299">
        <v>2</v>
      </c>
      <c r="J49" s="299">
        <v>9.6</v>
      </c>
      <c r="K49" s="321" t="s">
        <v>417</v>
      </c>
      <c r="L49" s="320"/>
      <c r="M49" s="290"/>
      <c r="N49" s="297"/>
    </row>
    <row r="50" spans="1:14" ht="12.75">
      <c r="A50" s="279">
        <v>50</v>
      </c>
      <c r="B50" s="280" t="s">
        <v>63</v>
      </c>
      <c r="C50" s="299" t="s">
        <v>333</v>
      </c>
      <c r="D50" s="302">
        <v>37727.475694444445</v>
      </c>
      <c r="E50" s="304">
        <v>38116</v>
      </c>
      <c r="F50" s="304" t="s">
        <v>351</v>
      </c>
      <c r="G50" s="306" t="s">
        <v>297</v>
      </c>
      <c r="H50" s="299">
        <v>10</v>
      </c>
      <c r="I50" s="299">
        <v>1</v>
      </c>
      <c r="J50" s="299">
        <v>4.8</v>
      </c>
      <c r="K50" s="321" t="s">
        <v>417</v>
      </c>
      <c r="L50" s="320"/>
      <c r="M50" s="290"/>
      <c r="N50" s="297"/>
    </row>
    <row r="51" spans="1:14" ht="12.75">
      <c r="A51" s="279">
        <v>51</v>
      </c>
      <c r="B51" s="280" t="s">
        <v>64</v>
      </c>
      <c r="C51" s="299" t="s">
        <v>333</v>
      </c>
      <c r="D51" s="302">
        <v>37727.475694444445</v>
      </c>
      <c r="E51" s="304">
        <v>38116</v>
      </c>
      <c r="F51" s="304" t="s">
        <v>351</v>
      </c>
      <c r="G51" s="306" t="s">
        <v>297</v>
      </c>
      <c r="H51" s="299">
        <v>10</v>
      </c>
      <c r="I51" s="299">
        <v>2</v>
      </c>
      <c r="J51" s="299">
        <v>9.6</v>
      </c>
      <c r="K51" s="321" t="s">
        <v>417</v>
      </c>
      <c r="L51" s="320"/>
      <c r="M51" s="290"/>
      <c r="N51" s="297"/>
    </row>
    <row r="52" spans="1:14" ht="12.75">
      <c r="A52" s="279">
        <v>52</v>
      </c>
      <c r="B52" s="280" t="s">
        <v>353</v>
      </c>
      <c r="C52" s="299" t="s">
        <v>333</v>
      </c>
      <c r="D52" s="302">
        <v>37727.475694444445</v>
      </c>
      <c r="E52" s="304">
        <v>38116</v>
      </c>
      <c r="F52" s="304" t="s">
        <v>351</v>
      </c>
      <c r="G52" s="306" t="s">
        <v>297</v>
      </c>
      <c r="H52" s="299">
        <v>5</v>
      </c>
      <c r="I52" s="299">
        <v>0.5</v>
      </c>
      <c r="J52" s="299">
        <v>4.8</v>
      </c>
      <c r="K52" s="321" t="s">
        <v>417</v>
      </c>
      <c r="L52" s="320"/>
      <c r="M52" s="290"/>
      <c r="N52" s="297"/>
    </row>
    <row r="53" spans="1:14" ht="12.75">
      <c r="A53" s="279">
        <v>54</v>
      </c>
      <c r="B53" s="280" t="s">
        <v>67</v>
      </c>
      <c r="C53" s="299" t="s">
        <v>333</v>
      </c>
      <c r="D53" s="302">
        <v>37727.475694444445</v>
      </c>
      <c r="E53" s="304">
        <v>38116</v>
      </c>
      <c r="F53" s="304" t="s">
        <v>351</v>
      </c>
      <c r="G53" s="306" t="s">
        <v>297</v>
      </c>
      <c r="H53" s="299">
        <v>1</v>
      </c>
      <c r="I53" s="299">
        <v>0.5</v>
      </c>
      <c r="J53" s="299">
        <v>4.8</v>
      </c>
      <c r="K53" s="321" t="s">
        <v>417</v>
      </c>
      <c r="L53" s="320"/>
      <c r="M53" s="290"/>
      <c r="N53" s="297"/>
    </row>
    <row r="54" spans="1:14" ht="12.75">
      <c r="A54" s="279">
        <v>55</v>
      </c>
      <c r="B54" s="280" t="s">
        <v>68</v>
      </c>
      <c r="C54" s="299" t="s">
        <v>333</v>
      </c>
      <c r="D54" s="302">
        <v>37727.475694444445</v>
      </c>
      <c r="E54" s="304">
        <v>38116</v>
      </c>
      <c r="F54" s="304" t="s">
        <v>351</v>
      </c>
      <c r="G54" s="306" t="s">
        <v>297</v>
      </c>
      <c r="H54" s="299">
        <v>10</v>
      </c>
      <c r="I54" s="299">
        <v>1</v>
      </c>
      <c r="J54" s="299">
        <v>4.8</v>
      </c>
      <c r="K54" s="321" t="s">
        <v>417</v>
      </c>
      <c r="L54" s="320"/>
      <c r="M54" s="290"/>
      <c r="N54" s="297"/>
    </row>
    <row r="55" spans="1:14" ht="12.75">
      <c r="A55" s="279">
        <v>56</v>
      </c>
      <c r="B55" s="280" t="s">
        <v>69</v>
      </c>
      <c r="C55" s="299" t="s">
        <v>333</v>
      </c>
      <c r="D55" s="302">
        <v>37727.475694444445</v>
      </c>
      <c r="E55" s="304">
        <v>38116</v>
      </c>
      <c r="F55" s="304" t="s">
        <v>351</v>
      </c>
      <c r="G55" s="306" t="s">
        <v>297</v>
      </c>
      <c r="H55" s="299">
        <v>1</v>
      </c>
      <c r="I55" s="299" t="s">
        <v>320</v>
      </c>
      <c r="J55" s="299">
        <v>4.8</v>
      </c>
      <c r="K55" s="321" t="s">
        <v>417</v>
      </c>
      <c r="L55" s="314"/>
      <c r="M55" s="290"/>
      <c r="N55" s="297"/>
    </row>
    <row r="56" spans="1:14" ht="12.75">
      <c r="A56" s="279">
        <v>57</v>
      </c>
      <c r="B56" s="280" t="s">
        <v>70</v>
      </c>
      <c r="C56" s="299" t="s">
        <v>333</v>
      </c>
      <c r="D56" s="302">
        <v>37727.475694444445</v>
      </c>
      <c r="E56" s="304">
        <v>38116</v>
      </c>
      <c r="F56" s="304" t="s">
        <v>351</v>
      </c>
      <c r="G56" s="306" t="s">
        <v>297</v>
      </c>
      <c r="H56" s="299">
        <v>10</v>
      </c>
      <c r="I56" s="299" t="s">
        <v>321</v>
      </c>
      <c r="J56" s="299">
        <v>4.8</v>
      </c>
      <c r="K56" s="321" t="s">
        <v>417</v>
      </c>
      <c r="L56" s="314"/>
      <c r="M56" s="290"/>
      <c r="N56" s="297"/>
    </row>
    <row r="57" spans="1:14" ht="12.75">
      <c r="A57" s="279">
        <v>58</v>
      </c>
      <c r="B57" s="280" t="s">
        <v>71</v>
      </c>
      <c r="C57" s="299" t="s">
        <v>333</v>
      </c>
      <c r="D57" s="302">
        <v>37727.475694444445</v>
      </c>
      <c r="E57" s="304">
        <v>38116</v>
      </c>
      <c r="F57" s="304" t="s">
        <v>351</v>
      </c>
      <c r="G57" s="306" t="s">
        <v>297</v>
      </c>
      <c r="H57" s="326">
        <v>10</v>
      </c>
      <c r="I57" s="326" t="s">
        <v>321</v>
      </c>
      <c r="J57" s="326">
        <v>4.8</v>
      </c>
      <c r="K57" s="327" t="s">
        <v>417</v>
      </c>
      <c r="L57" s="314"/>
      <c r="M57" s="290"/>
      <c r="N57" s="297"/>
    </row>
    <row r="58" spans="1:14" ht="12.75">
      <c r="A58" s="279">
        <v>59</v>
      </c>
      <c r="B58" s="280" t="s">
        <v>72</v>
      </c>
      <c r="C58" s="299" t="s">
        <v>333</v>
      </c>
      <c r="D58" s="302">
        <v>37727.475694444445</v>
      </c>
      <c r="E58" s="304">
        <v>38116</v>
      </c>
      <c r="F58" s="304" t="s">
        <v>351</v>
      </c>
      <c r="G58" s="306" t="s">
        <v>297</v>
      </c>
      <c r="H58" s="299">
        <v>5</v>
      </c>
      <c r="I58" s="299">
        <v>1</v>
      </c>
      <c r="J58" s="299">
        <v>48</v>
      </c>
      <c r="K58" s="321" t="s">
        <v>417</v>
      </c>
      <c r="L58" s="320"/>
      <c r="M58" s="292"/>
      <c r="N58" s="297"/>
    </row>
    <row r="59" spans="1:14" ht="12.75">
      <c r="A59" s="279">
        <v>60</v>
      </c>
      <c r="B59" s="280" t="s">
        <v>354</v>
      </c>
      <c r="C59" s="299" t="s">
        <v>333</v>
      </c>
      <c r="D59" s="302">
        <v>37727.475694444445</v>
      </c>
      <c r="E59" s="304">
        <v>38116</v>
      </c>
      <c r="F59" s="304" t="s">
        <v>351</v>
      </c>
      <c r="G59" s="306" t="s">
        <v>297</v>
      </c>
      <c r="H59" s="299">
        <v>5</v>
      </c>
      <c r="I59" s="299" t="s">
        <v>322</v>
      </c>
      <c r="J59" s="299">
        <v>4.8</v>
      </c>
      <c r="K59" s="321" t="s">
        <v>417</v>
      </c>
      <c r="L59" s="314"/>
      <c r="M59" s="290"/>
      <c r="N59" s="297"/>
    </row>
    <row r="60" spans="1:14" ht="12.75">
      <c r="A60" s="279">
        <v>61</v>
      </c>
      <c r="B60" s="280" t="s">
        <v>355</v>
      </c>
      <c r="C60" s="299" t="s">
        <v>333</v>
      </c>
      <c r="D60" s="302">
        <v>37727.475694444445</v>
      </c>
      <c r="E60" s="304">
        <v>38116</v>
      </c>
      <c r="F60" s="304" t="s">
        <v>351</v>
      </c>
      <c r="G60" s="306" t="s">
        <v>297</v>
      </c>
      <c r="H60" s="299">
        <v>2</v>
      </c>
      <c r="I60" s="299">
        <v>1.8</v>
      </c>
      <c r="J60" s="299">
        <v>4.8</v>
      </c>
      <c r="K60" s="321"/>
      <c r="L60" s="320"/>
      <c r="M60" s="290"/>
      <c r="N60" s="297"/>
    </row>
    <row r="61" spans="1:14" ht="12.75">
      <c r="A61" s="279">
        <v>62</v>
      </c>
      <c r="B61" s="280" t="s">
        <v>356</v>
      </c>
      <c r="C61" s="299" t="s">
        <v>333</v>
      </c>
      <c r="D61" s="302">
        <v>37727.475694444445</v>
      </c>
      <c r="E61" s="304">
        <v>38116</v>
      </c>
      <c r="F61" s="304" t="s">
        <v>351</v>
      </c>
      <c r="G61" s="306" t="s">
        <v>297</v>
      </c>
      <c r="H61" s="299">
        <v>10</v>
      </c>
      <c r="I61" s="299" t="s">
        <v>323</v>
      </c>
      <c r="J61" s="299">
        <v>4.8</v>
      </c>
      <c r="K61" s="321" t="s">
        <v>417</v>
      </c>
      <c r="L61" s="314"/>
      <c r="M61" s="290"/>
      <c r="N61" s="297"/>
    </row>
    <row r="62" spans="1:14" ht="12.75">
      <c r="A62" s="279">
        <v>63</v>
      </c>
      <c r="B62" s="280" t="s">
        <v>357</v>
      </c>
      <c r="C62" s="299" t="s">
        <v>333</v>
      </c>
      <c r="D62" s="302">
        <v>37727.475694444445</v>
      </c>
      <c r="E62" s="304">
        <v>38116</v>
      </c>
      <c r="F62" s="304" t="s">
        <v>351</v>
      </c>
      <c r="G62" s="306" t="s">
        <v>297</v>
      </c>
      <c r="H62" s="299">
        <v>5</v>
      </c>
      <c r="I62" s="299">
        <v>1.8</v>
      </c>
      <c r="J62" s="299">
        <v>9.6</v>
      </c>
      <c r="K62" s="321"/>
      <c r="L62" s="320"/>
      <c r="M62" s="290"/>
      <c r="N62" s="297"/>
    </row>
    <row r="63" spans="1:14" ht="12.75">
      <c r="A63" s="279">
        <v>64</v>
      </c>
      <c r="B63" s="280" t="s">
        <v>358</v>
      </c>
      <c r="C63" s="299" t="s">
        <v>333</v>
      </c>
      <c r="D63" s="302">
        <v>37727.475694444445</v>
      </c>
      <c r="E63" s="304">
        <v>38116</v>
      </c>
      <c r="F63" s="304" t="s">
        <v>351</v>
      </c>
      <c r="G63" s="306" t="s">
        <v>297</v>
      </c>
      <c r="H63" s="299">
        <v>2</v>
      </c>
      <c r="I63" s="299" t="s">
        <v>306</v>
      </c>
      <c r="J63" s="299">
        <v>4.8</v>
      </c>
      <c r="K63" s="321" t="s">
        <v>417</v>
      </c>
      <c r="L63" s="314"/>
      <c r="M63" s="290"/>
      <c r="N63" s="297"/>
    </row>
    <row r="64" spans="1:14" ht="12.75">
      <c r="A64" s="279">
        <v>65</v>
      </c>
      <c r="B64" s="280" t="s">
        <v>359</v>
      </c>
      <c r="C64" s="299" t="s">
        <v>333</v>
      </c>
      <c r="D64" s="302">
        <v>37727.475694444445</v>
      </c>
      <c r="E64" s="304">
        <v>38116</v>
      </c>
      <c r="F64" s="304" t="s">
        <v>351</v>
      </c>
      <c r="G64" s="306" t="s">
        <v>297</v>
      </c>
      <c r="H64" s="299">
        <v>5</v>
      </c>
      <c r="I64" s="299">
        <v>1</v>
      </c>
      <c r="J64" s="299">
        <v>4.8</v>
      </c>
      <c r="K64" s="321" t="s">
        <v>417</v>
      </c>
      <c r="L64" s="320"/>
      <c r="M64" s="290"/>
      <c r="N64" s="297"/>
    </row>
    <row r="65" spans="1:14" ht="12.75">
      <c r="A65" s="279">
        <v>66</v>
      </c>
      <c r="B65" s="280" t="s">
        <v>360</v>
      </c>
      <c r="C65" s="299" t="s">
        <v>333</v>
      </c>
      <c r="D65" s="302">
        <v>37727.475694444445</v>
      </c>
      <c r="E65" s="304">
        <v>38116</v>
      </c>
      <c r="F65" s="304" t="s">
        <v>351</v>
      </c>
      <c r="G65" s="306" t="s">
        <v>297</v>
      </c>
      <c r="H65" s="299">
        <v>1</v>
      </c>
      <c r="I65" s="299">
        <v>0.5</v>
      </c>
      <c r="J65" s="299">
        <v>9.6</v>
      </c>
      <c r="K65" s="321" t="s">
        <v>417</v>
      </c>
      <c r="L65" s="320"/>
      <c r="M65" s="290"/>
      <c r="N65" s="297"/>
    </row>
    <row r="66" spans="1:14" ht="12.75">
      <c r="A66" s="279">
        <v>67</v>
      </c>
      <c r="B66" s="280" t="s">
        <v>361</v>
      </c>
      <c r="C66" s="299" t="s">
        <v>333</v>
      </c>
      <c r="D66" s="302">
        <v>37727.475694444445</v>
      </c>
      <c r="E66" s="304">
        <v>38116</v>
      </c>
      <c r="F66" s="304" t="s">
        <v>351</v>
      </c>
      <c r="G66" s="306" t="s">
        <v>297</v>
      </c>
      <c r="H66" s="299">
        <v>10</v>
      </c>
      <c r="I66" s="299">
        <v>0.5</v>
      </c>
      <c r="J66" s="299">
        <v>4.8</v>
      </c>
      <c r="K66" s="321" t="s">
        <v>417</v>
      </c>
      <c r="L66" s="320"/>
      <c r="M66" s="290"/>
      <c r="N66" s="297"/>
    </row>
    <row r="67" spans="1:14" ht="12.75">
      <c r="A67" s="279">
        <v>68</v>
      </c>
      <c r="B67" s="280" t="s">
        <v>362</v>
      </c>
      <c r="C67" s="299" t="s">
        <v>333</v>
      </c>
      <c r="D67" s="302">
        <v>37727.475694444445</v>
      </c>
      <c r="E67" s="304">
        <v>38116</v>
      </c>
      <c r="F67" s="304" t="s">
        <v>351</v>
      </c>
      <c r="G67" s="306" t="s">
        <v>297</v>
      </c>
      <c r="H67" s="299">
        <v>5</v>
      </c>
      <c r="I67" s="299">
        <v>2</v>
      </c>
      <c r="J67" s="299">
        <v>9.6</v>
      </c>
      <c r="K67" s="321" t="s">
        <v>417</v>
      </c>
      <c r="L67" s="320"/>
      <c r="M67" s="290"/>
      <c r="N67" s="297"/>
    </row>
    <row r="68" spans="1:14" ht="12.75">
      <c r="A68" s="279">
        <v>69</v>
      </c>
      <c r="B68" s="280" t="s">
        <v>363</v>
      </c>
      <c r="C68" s="299" t="s">
        <v>333</v>
      </c>
      <c r="D68" s="302">
        <v>37727.475694444445</v>
      </c>
      <c r="E68" s="304">
        <v>38116</v>
      </c>
      <c r="F68" s="304" t="s">
        <v>351</v>
      </c>
      <c r="G68" s="306" t="s">
        <v>297</v>
      </c>
      <c r="H68" s="299">
        <v>10</v>
      </c>
      <c r="I68" s="299">
        <v>1</v>
      </c>
      <c r="J68" s="299">
        <v>4.8</v>
      </c>
      <c r="K68" s="321" t="s">
        <v>417</v>
      </c>
      <c r="L68" s="320"/>
      <c r="M68" s="290"/>
      <c r="N68" s="297"/>
    </row>
    <row r="69" spans="1:14" ht="12.75">
      <c r="A69" s="279">
        <v>70</v>
      </c>
      <c r="B69" s="280" t="s">
        <v>364</v>
      </c>
      <c r="C69" s="299" t="s">
        <v>333</v>
      </c>
      <c r="D69" s="302">
        <v>37727.475694444445</v>
      </c>
      <c r="E69" s="304">
        <v>38116</v>
      </c>
      <c r="F69" s="304" t="s">
        <v>351</v>
      </c>
      <c r="G69" s="306" t="s">
        <v>297</v>
      </c>
      <c r="H69" s="299">
        <v>10</v>
      </c>
      <c r="I69" s="299">
        <v>1</v>
      </c>
      <c r="J69" s="299">
        <v>4.8</v>
      </c>
      <c r="K69" s="321" t="s">
        <v>417</v>
      </c>
      <c r="L69" s="320"/>
      <c r="M69" s="290"/>
      <c r="N69" s="297"/>
    </row>
    <row r="70" spans="1:14" ht="12.75">
      <c r="A70" s="279">
        <v>71</v>
      </c>
      <c r="B70" s="280" t="s">
        <v>84</v>
      </c>
      <c r="C70" s="299" t="s">
        <v>333</v>
      </c>
      <c r="D70" s="302">
        <v>37727.475694444445</v>
      </c>
      <c r="E70" s="304">
        <v>38116</v>
      </c>
      <c r="F70" s="304" t="s">
        <v>351</v>
      </c>
      <c r="G70" s="306" t="s">
        <v>297</v>
      </c>
      <c r="H70" s="299">
        <v>10</v>
      </c>
      <c r="I70" s="299">
        <v>1</v>
      </c>
      <c r="J70" s="299">
        <v>4.8</v>
      </c>
      <c r="K70" s="321" t="s">
        <v>417</v>
      </c>
      <c r="L70" s="320"/>
      <c r="M70" s="290"/>
      <c r="N70" s="297"/>
    </row>
    <row r="71" spans="1:14" ht="12.75">
      <c r="A71" s="279">
        <v>72</v>
      </c>
      <c r="B71" s="280" t="s">
        <v>365</v>
      </c>
      <c r="C71" s="299" t="s">
        <v>333</v>
      </c>
      <c r="D71" s="302">
        <v>37727.475694444445</v>
      </c>
      <c r="E71" s="304">
        <v>38116</v>
      </c>
      <c r="F71" s="304" t="s">
        <v>351</v>
      </c>
      <c r="G71" s="306" t="s">
        <v>297</v>
      </c>
      <c r="H71" s="299">
        <v>5</v>
      </c>
      <c r="I71" s="299">
        <v>1</v>
      </c>
      <c r="J71" s="299">
        <v>9.6</v>
      </c>
      <c r="K71" s="321" t="s">
        <v>417</v>
      </c>
      <c r="L71" s="320"/>
      <c r="M71" s="290"/>
      <c r="N71" s="297"/>
    </row>
    <row r="72" spans="1:14" ht="12.75">
      <c r="A72" s="279">
        <v>73</v>
      </c>
      <c r="B72" s="280" t="s">
        <v>86</v>
      </c>
      <c r="C72" s="299" t="s">
        <v>333</v>
      </c>
      <c r="D72" s="302">
        <v>37727.475694444445</v>
      </c>
      <c r="E72" s="304">
        <v>38116</v>
      </c>
      <c r="F72" s="304" t="s">
        <v>351</v>
      </c>
      <c r="G72" s="306" t="s">
        <v>297</v>
      </c>
      <c r="H72" s="299">
        <v>5</v>
      </c>
      <c r="I72" s="299" t="s">
        <v>322</v>
      </c>
      <c r="J72" s="299">
        <v>4.8</v>
      </c>
      <c r="K72" s="321" t="s">
        <v>417</v>
      </c>
      <c r="L72" s="314"/>
      <c r="M72" s="290"/>
      <c r="N72" s="297"/>
    </row>
    <row r="73" spans="1:14" ht="12.75">
      <c r="A73" s="279">
        <v>74</v>
      </c>
      <c r="B73" s="280" t="s">
        <v>366</v>
      </c>
      <c r="C73" s="299" t="s">
        <v>333</v>
      </c>
      <c r="D73" s="302">
        <v>37727.475694444445</v>
      </c>
      <c r="E73" s="304">
        <v>38116</v>
      </c>
      <c r="F73" s="304" t="s">
        <v>351</v>
      </c>
      <c r="G73" s="306" t="s">
        <v>297</v>
      </c>
      <c r="H73" s="299">
        <v>0.1</v>
      </c>
      <c r="I73" s="299" t="s">
        <v>324</v>
      </c>
      <c r="J73" s="299">
        <v>4.8</v>
      </c>
      <c r="K73" s="321" t="s">
        <v>417</v>
      </c>
      <c r="L73" s="314"/>
      <c r="M73" s="290"/>
      <c r="N73" s="297"/>
    </row>
    <row r="74" spans="1:14" ht="12.75">
      <c r="A74" s="279">
        <v>75</v>
      </c>
      <c r="B74" s="280" t="s">
        <v>88</v>
      </c>
      <c r="C74" s="299" t="s">
        <v>333</v>
      </c>
      <c r="D74" s="302">
        <v>37727.475694444445</v>
      </c>
      <c r="E74" s="304">
        <v>37733</v>
      </c>
      <c r="F74" s="304" t="s">
        <v>344</v>
      </c>
      <c r="G74" s="306" t="s">
        <v>297</v>
      </c>
      <c r="H74" s="299">
        <v>2</v>
      </c>
      <c r="I74" s="299" t="s">
        <v>325</v>
      </c>
      <c r="J74" s="299" t="s">
        <v>304</v>
      </c>
      <c r="K74" s="321" t="s">
        <v>417</v>
      </c>
      <c r="L74" s="314"/>
      <c r="M74" s="281"/>
      <c r="N74" s="297"/>
    </row>
    <row r="75" spans="1:14" ht="12.75">
      <c r="A75" s="279">
        <v>76</v>
      </c>
      <c r="B75" s="280" t="s">
        <v>89</v>
      </c>
      <c r="C75" s="299" t="s">
        <v>333</v>
      </c>
      <c r="D75" s="302">
        <v>37727.475694444445</v>
      </c>
      <c r="E75" s="304">
        <v>37733</v>
      </c>
      <c r="F75" s="304" t="s">
        <v>344</v>
      </c>
      <c r="G75" s="306" t="s">
        <v>297</v>
      </c>
      <c r="H75" s="299">
        <v>2</v>
      </c>
      <c r="I75" s="299" t="s">
        <v>326</v>
      </c>
      <c r="J75" s="299" t="s">
        <v>304</v>
      </c>
      <c r="K75" s="321" t="s">
        <v>417</v>
      </c>
      <c r="L75" s="314"/>
      <c r="M75" s="281"/>
      <c r="N75" s="297"/>
    </row>
    <row r="76" spans="1:14" ht="12.75">
      <c r="A76" s="279">
        <v>77</v>
      </c>
      <c r="B76" s="280" t="s">
        <v>90</v>
      </c>
      <c r="C76" s="299" t="s">
        <v>333</v>
      </c>
      <c r="D76" s="302">
        <v>37727.475694444445</v>
      </c>
      <c r="E76" s="304">
        <v>37733</v>
      </c>
      <c r="F76" s="304" t="s">
        <v>344</v>
      </c>
      <c r="G76" s="306" t="s">
        <v>297</v>
      </c>
      <c r="H76" s="299">
        <v>2</v>
      </c>
      <c r="I76" s="299" t="s">
        <v>306</v>
      </c>
      <c r="J76" s="299" t="s">
        <v>304</v>
      </c>
      <c r="K76" s="321" t="s">
        <v>417</v>
      </c>
      <c r="L76" s="314"/>
      <c r="M76" s="281"/>
      <c r="N76" s="297"/>
    </row>
    <row r="77" spans="1:14" ht="12.75">
      <c r="A77" s="279">
        <v>78</v>
      </c>
      <c r="B77" s="280" t="s">
        <v>367</v>
      </c>
      <c r="C77" s="299" t="s">
        <v>333</v>
      </c>
      <c r="D77" s="302">
        <v>37727.475694444445</v>
      </c>
      <c r="E77" s="304">
        <v>38116</v>
      </c>
      <c r="F77" s="304" t="s">
        <v>351</v>
      </c>
      <c r="G77" s="306" t="s">
        <v>297</v>
      </c>
      <c r="H77" s="299">
        <v>5</v>
      </c>
      <c r="I77" s="299">
        <v>1</v>
      </c>
      <c r="J77" s="299">
        <v>48</v>
      </c>
      <c r="K77" s="321" t="s">
        <v>417</v>
      </c>
      <c r="L77" s="320"/>
      <c r="M77" s="292"/>
      <c r="N77" s="297"/>
    </row>
    <row r="78" spans="1:14" ht="12.75">
      <c r="A78" s="279">
        <v>79</v>
      </c>
      <c r="B78" s="280" t="s">
        <v>368</v>
      </c>
      <c r="C78" s="299" t="s">
        <v>333</v>
      </c>
      <c r="D78" s="302">
        <v>37727.475694444445</v>
      </c>
      <c r="E78" s="304">
        <v>38116</v>
      </c>
      <c r="F78" s="304" t="s">
        <v>351</v>
      </c>
      <c r="G78" s="306" t="s">
        <v>297</v>
      </c>
      <c r="H78" s="299">
        <v>2</v>
      </c>
      <c r="I78" s="299">
        <v>1</v>
      </c>
      <c r="J78" s="299">
        <v>4.8</v>
      </c>
      <c r="K78" s="321" t="s">
        <v>417</v>
      </c>
      <c r="L78" s="320"/>
      <c r="M78" s="290"/>
      <c r="N78" s="297"/>
    </row>
    <row r="79" spans="1:14" ht="12.75">
      <c r="A79" s="279">
        <v>80</v>
      </c>
      <c r="B79" s="280" t="s">
        <v>369</v>
      </c>
      <c r="C79" s="299" t="s">
        <v>333</v>
      </c>
      <c r="D79" s="302">
        <v>37727.475694444445</v>
      </c>
      <c r="E79" s="304">
        <v>38116</v>
      </c>
      <c r="F79" s="304" t="s">
        <v>351</v>
      </c>
      <c r="G79" s="306" t="s">
        <v>297</v>
      </c>
      <c r="H79" s="299">
        <v>2</v>
      </c>
      <c r="I79" s="299">
        <v>1</v>
      </c>
      <c r="J79" s="299">
        <v>4.8</v>
      </c>
      <c r="K79" s="321" t="s">
        <v>417</v>
      </c>
      <c r="L79" s="319"/>
      <c r="M79" s="290"/>
      <c r="N79" s="297"/>
    </row>
    <row r="80" spans="1:14" ht="12.75">
      <c r="A80" s="279">
        <v>81</v>
      </c>
      <c r="B80" s="280" t="s">
        <v>370</v>
      </c>
      <c r="C80" s="299" t="s">
        <v>333</v>
      </c>
      <c r="D80" s="302">
        <v>37727.475694444445</v>
      </c>
      <c r="E80" s="304">
        <v>38116</v>
      </c>
      <c r="F80" s="304" t="s">
        <v>351</v>
      </c>
      <c r="G80" s="306" t="s">
        <v>297</v>
      </c>
      <c r="H80" s="299">
        <v>10</v>
      </c>
      <c r="I80" s="299">
        <v>1</v>
      </c>
      <c r="J80" s="299">
        <v>4.8</v>
      </c>
      <c r="K80" s="321" t="s">
        <v>417</v>
      </c>
      <c r="L80" s="320"/>
      <c r="M80" s="290"/>
      <c r="N80" s="297"/>
    </row>
    <row r="81" spans="1:14" ht="12.75">
      <c r="A81" s="279">
        <v>82</v>
      </c>
      <c r="B81" s="280" t="s">
        <v>95</v>
      </c>
      <c r="C81" s="299" t="s">
        <v>333</v>
      </c>
      <c r="D81" s="302">
        <v>37727.475694444445</v>
      </c>
      <c r="E81" s="304">
        <v>38116</v>
      </c>
      <c r="F81" s="304" t="s">
        <v>351</v>
      </c>
      <c r="G81" s="306" t="s">
        <v>297</v>
      </c>
      <c r="H81" s="299">
        <v>5</v>
      </c>
      <c r="I81" s="299">
        <v>1</v>
      </c>
      <c r="J81" s="299">
        <v>4.8</v>
      </c>
      <c r="K81" s="321" t="s">
        <v>417</v>
      </c>
      <c r="L81" s="320"/>
      <c r="M81" s="290"/>
      <c r="N81" s="297"/>
    </row>
    <row r="82" spans="1:14" ht="12.75">
      <c r="A82" s="279">
        <v>83</v>
      </c>
      <c r="B82" s="280" t="s">
        <v>96</v>
      </c>
      <c r="C82" s="299" t="s">
        <v>333</v>
      </c>
      <c r="D82" s="302">
        <v>37727.475694444445</v>
      </c>
      <c r="E82" s="304">
        <v>38116</v>
      </c>
      <c r="F82" s="304" t="s">
        <v>351</v>
      </c>
      <c r="G82" s="306" t="s">
        <v>297</v>
      </c>
      <c r="H82" s="299">
        <v>5</v>
      </c>
      <c r="I82" s="299">
        <v>1</v>
      </c>
      <c r="J82" s="299">
        <v>4.8</v>
      </c>
      <c r="K82" s="321" t="s">
        <v>417</v>
      </c>
      <c r="L82" s="320"/>
      <c r="M82" s="290"/>
      <c r="N82" s="297"/>
    </row>
    <row r="83" spans="1:14" ht="12.75">
      <c r="A83" s="279">
        <v>84</v>
      </c>
      <c r="B83" s="280" t="s">
        <v>371</v>
      </c>
      <c r="C83" s="299" t="s">
        <v>333</v>
      </c>
      <c r="D83" s="302">
        <v>37727.475694444445</v>
      </c>
      <c r="E83" s="304">
        <v>38116</v>
      </c>
      <c r="F83" s="304" t="s">
        <v>351</v>
      </c>
      <c r="G83" s="306" t="s">
        <v>297</v>
      </c>
      <c r="H83" s="299">
        <v>10</v>
      </c>
      <c r="I83" s="299">
        <v>1</v>
      </c>
      <c r="J83" s="299">
        <v>9.6</v>
      </c>
      <c r="K83" s="321" t="s">
        <v>417</v>
      </c>
      <c r="L83" s="320"/>
      <c r="M83" s="290"/>
      <c r="N83" s="297"/>
    </row>
    <row r="84" spans="1:14" ht="12.75">
      <c r="A84" s="279">
        <v>85</v>
      </c>
      <c r="B84" s="280" t="s">
        <v>98</v>
      </c>
      <c r="C84" s="299" t="s">
        <v>333</v>
      </c>
      <c r="D84" s="302">
        <v>37727.475694444445</v>
      </c>
      <c r="E84" s="304">
        <v>38116</v>
      </c>
      <c r="F84" s="304" t="s">
        <v>351</v>
      </c>
      <c r="G84" s="306" t="s">
        <v>297</v>
      </c>
      <c r="H84" s="299">
        <v>1</v>
      </c>
      <c r="I84" s="299">
        <v>0.5</v>
      </c>
      <c r="J84" s="299">
        <v>9.6</v>
      </c>
      <c r="K84" s="321" t="s">
        <v>417</v>
      </c>
      <c r="L84" s="320"/>
      <c r="M84" s="290"/>
      <c r="N84" s="297"/>
    </row>
    <row r="85" spans="1:14" ht="12.75">
      <c r="A85" s="279">
        <v>86</v>
      </c>
      <c r="B85" s="280" t="s">
        <v>99</v>
      </c>
      <c r="C85" s="299" t="s">
        <v>333</v>
      </c>
      <c r="D85" s="302">
        <v>37727.475694444445</v>
      </c>
      <c r="E85" s="304">
        <v>38116</v>
      </c>
      <c r="F85" s="304" t="s">
        <v>351</v>
      </c>
      <c r="G85" s="306" t="s">
        <v>297</v>
      </c>
      <c r="H85" s="299">
        <v>10</v>
      </c>
      <c r="I85" s="299" t="s">
        <v>327</v>
      </c>
      <c r="J85" s="299">
        <v>4.8</v>
      </c>
      <c r="K85" s="321" t="s">
        <v>417</v>
      </c>
      <c r="L85" s="314"/>
      <c r="M85" s="290"/>
      <c r="N85" s="297"/>
    </row>
    <row r="86" spans="1:14" ht="12.75">
      <c r="A86" s="279">
        <v>87</v>
      </c>
      <c r="B86" s="280" t="s">
        <v>100</v>
      </c>
      <c r="C86" s="299" t="s">
        <v>333</v>
      </c>
      <c r="D86" s="302">
        <v>37727.475694444445</v>
      </c>
      <c r="E86" s="304">
        <v>38116</v>
      </c>
      <c r="F86" s="304" t="s">
        <v>351</v>
      </c>
      <c r="G86" s="306" t="s">
        <v>297</v>
      </c>
      <c r="H86" s="299">
        <v>10</v>
      </c>
      <c r="I86" s="299" t="s">
        <v>328</v>
      </c>
      <c r="J86" s="299">
        <v>4.8</v>
      </c>
      <c r="K86" s="321" t="s">
        <v>417</v>
      </c>
      <c r="L86" s="314"/>
      <c r="M86" s="290"/>
      <c r="N86" s="297"/>
    </row>
    <row r="87" spans="1:14" ht="12.75">
      <c r="A87" s="279">
        <v>88</v>
      </c>
      <c r="B87" s="280" t="s">
        <v>101</v>
      </c>
      <c r="C87" s="299" t="s">
        <v>333</v>
      </c>
      <c r="D87" s="302">
        <v>37727.475694444445</v>
      </c>
      <c r="E87" s="304">
        <v>38116</v>
      </c>
      <c r="F87" s="304" t="s">
        <v>351</v>
      </c>
      <c r="G87" s="306" t="s">
        <v>297</v>
      </c>
      <c r="H87" s="299">
        <v>1</v>
      </c>
      <c r="I87" s="299">
        <v>0.5</v>
      </c>
      <c r="J87" s="299">
        <v>4.8</v>
      </c>
      <c r="K87" s="321" t="s">
        <v>417</v>
      </c>
      <c r="L87" s="320"/>
      <c r="M87" s="290"/>
      <c r="N87" s="297"/>
    </row>
    <row r="88" spans="1:14" ht="12.75">
      <c r="A88" s="279">
        <v>89</v>
      </c>
      <c r="B88" s="280" t="s">
        <v>102</v>
      </c>
      <c r="C88" s="299" t="s">
        <v>333</v>
      </c>
      <c r="D88" s="302">
        <v>37727.475694444445</v>
      </c>
      <c r="E88" s="304">
        <v>37733</v>
      </c>
      <c r="F88" s="304" t="s">
        <v>344</v>
      </c>
      <c r="G88" s="306" t="s">
        <v>297</v>
      </c>
      <c r="H88" s="299">
        <v>1</v>
      </c>
      <c r="I88" s="299" t="s">
        <v>320</v>
      </c>
      <c r="J88" s="299">
        <v>2</v>
      </c>
      <c r="K88" s="321" t="s">
        <v>417</v>
      </c>
      <c r="L88" s="314"/>
      <c r="M88" s="290"/>
      <c r="N88" s="297"/>
    </row>
    <row r="89" spans="1:14" ht="12.75">
      <c r="A89" s="279">
        <v>90</v>
      </c>
      <c r="B89" s="280" t="s">
        <v>103</v>
      </c>
      <c r="C89" s="299" t="s">
        <v>333</v>
      </c>
      <c r="D89" s="302">
        <v>37727.475694444445</v>
      </c>
      <c r="E89" s="304">
        <v>38116</v>
      </c>
      <c r="F89" s="304" t="s">
        <v>351</v>
      </c>
      <c r="G89" s="306" t="s">
        <v>297</v>
      </c>
      <c r="H89" s="299">
        <v>5</v>
      </c>
      <c r="I89" s="299">
        <v>1</v>
      </c>
      <c r="J89" s="299">
        <v>9.6</v>
      </c>
      <c r="K89" s="321" t="s">
        <v>417</v>
      </c>
      <c r="L89" s="320"/>
      <c r="M89" s="290"/>
      <c r="N89" s="297"/>
    </row>
    <row r="90" spans="1:14" ht="12.75">
      <c r="A90" s="279">
        <v>91</v>
      </c>
      <c r="B90" s="280" t="s">
        <v>104</v>
      </c>
      <c r="C90" s="299" t="s">
        <v>333</v>
      </c>
      <c r="D90" s="302">
        <v>37727.475694444445</v>
      </c>
      <c r="E90" s="304">
        <v>38116</v>
      </c>
      <c r="F90" s="304" t="s">
        <v>351</v>
      </c>
      <c r="G90" s="306" t="s">
        <v>297</v>
      </c>
      <c r="H90" s="299">
        <v>1</v>
      </c>
      <c r="I90" s="299">
        <v>0.5</v>
      </c>
      <c r="J90" s="299">
        <v>9.6</v>
      </c>
      <c r="K90" s="321" t="s">
        <v>417</v>
      </c>
      <c r="L90" s="320"/>
      <c r="M90" s="290"/>
      <c r="N90" s="297"/>
    </row>
    <row r="91" spans="1:14" ht="12.75">
      <c r="A91" s="279">
        <v>92</v>
      </c>
      <c r="B91" s="280" t="s">
        <v>372</v>
      </c>
      <c r="C91" s="299" t="s">
        <v>333</v>
      </c>
      <c r="D91" s="302">
        <v>37727.475694444445</v>
      </c>
      <c r="E91" s="304">
        <v>38116</v>
      </c>
      <c r="F91" s="304" t="s">
        <v>351</v>
      </c>
      <c r="G91" s="306" t="s">
        <v>297</v>
      </c>
      <c r="H91" s="299">
        <v>0.05</v>
      </c>
      <c r="I91" s="299" t="s">
        <v>329</v>
      </c>
      <c r="J91" s="299">
        <v>9.6</v>
      </c>
      <c r="K91" s="321" t="s">
        <v>417</v>
      </c>
      <c r="L91" s="314"/>
      <c r="M91" s="290"/>
      <c r="N91" s="297"/>
    </row>
    <row r="92" spans="1:14" ht="12.75">
      <c r="A92" s="279">
        <v>93</v>
      </c>
      <c r="B92" s="280" t="s">
        <v>106</v>
      </c>
      <c r="C92" s="299" t="s">
        <v>333</v>
      </c>
      <c r="D92" s="302">
        <v>37727.475694444445</v>
      </c>
      <c r="E92" s="304">
        <v>38116</v>
      </c>
      <c r="F92" s="304" t="s">
        <v>351</v>
      </c>
      <c r="G92" s="306" t="s">
        <v>297</v>
      </c>
      <c r="H92" s="299">
        <v>1</v>
      </c>
      <c r="I92" s="299">
        <v>0.5</v>
      </c>
      <c r="J92" s="299">
        <v>4.8</v>
      </c>
      <c r="K92" s="321" t="s">
        <v>417</v>
      </c>
      <c r="L92" s="320"/>
      <c r="M92" s="290"/>
      <c r="N92" s="297"/>
    </row>
    <row r="93" spans="1:14" ht="12.75">
      <c r="A93" s="279">
        <v>94</v>
      </c>
      <c r="B93" s="280" t="s">
        <v>107</v>
      </c>
      <c r="C93" s="299" t="s">
        <v>333</v>
      </c>
      <c r="D93" s="302">
        <v>37727.475694444445</v>
      </c>
      <c r="E93" s="304">
        <v>38116</v>
      </c>
      <c r="F93" s="304" t="s">
        <v>344</v>
      </c>
      <c r="G93" s="306" t="s">
        <v>297</v>
      </c>
      <c r="H93" s="299">
        <v>10</v>
      </c>
      <c r="I93" s="299" t="s">
        <v>330</v>
      </c>
      <c r="J93" s="299">
        <v>5</v>
      </c>
      <c r="K93" s="321" t="s">
        <v>417</v>
      </c>
      <c r="L93" s="314"/>
      <c r="M93" s="290"/>
      <c r="N93" s="297"/>
    </row>
    <row r="94" spans="1:14" ht="12.75">
      <c r="A94" s="279">
        <v>95</v>
      </c>
      <c r="B94" s="280" t="s">
        <v>108</v>
      </c>
      <c r="C94" s="299" t="s">
        <v>333</v>
      </c>
      <c r="D94" s="302">
        <v>37727.475694444445</v>
      </c>
      <c r="E94" s="304">
        <v>38116</v>
      </c>
      <c r="F94" s="304" t="s">
        <v>351</v>
      </c>
      <c r="G94" s="306" t="s">
        <v>297</v>
      </c>
      <c r="H94" s="299">
        <v>10</v>
      </c>
      <c r="I94" s="299">
        <v>0.5</v>
      </c>
      <c r="J94" s="299">
        <v>4.8</v>
      </c>
      <c r="K94" s="321" t="s">
        <v>417</v>
      </c>
      <c r="L94" s="320"/>
      <c r="M94" s="290"/>
      <c r="N94" s="297"/>
    </row>
    <row r="95" spans="1:14" ht="12.75">
      <c r="A95" s="279">
        <v>96</v>
      </c>
      <c r="B95" s="280" t="s">
        <v>109</v>
      </c>
      <c r="C95" s="299" t="s">
        <v>333</v>
      </c>
      <c r="D95" s="302">
        <v>37727.475694444445</v>
      </c>
      <c r="E95" s="304">
        <v>38116</v>
      </c>
      <c r="F95" s="304" t="s">
        <v>351</v>
      </c>
      <c r="G95" s="306" t="s">
        <v>297</v>
      </c>
      <c r="H95" s="299">
        <v>5</v>
      </c>
      <c r="I95" s="299">
        <v>0.5</v>
      </c>
      <c r="J95" s="299">
        <v>4.8</v>
      </c>
      <c r="K95" s="321" t="s">
        <v>417</v>
      </c>
      <c r="L95" s="320"/>
      <c r="M95" s="290"/>
      <c r="N95" s="297"/>
    </row>
    <row r="96" spans="1:14" ht="12.75">
      <c r="A96" s="279">
        <v>97</v>
      </c>
      <c r="B96" s="280" t="s">
        <v>373</v>
      </c>
      <c r="C96" s="299" t="s">
        <v>333</v>
      </c>
      <c r="D96" s="302">
        <v>37727.475694444445</v>
      </c>
      <c r="E96" s="304">
        <v>38116</v>
      </c>
      <c r="F96" s="304" t="s">
        <v>351</v>
      </c>
      <c r="G96" s="306" t="s">
        <v>297</v>
      </c>
      <c r="H96" s="299">
        <v>5</v>
      </c>
      <c r="I96" s="299">
        <v>1</v>
      </c>
      <c r="J96" s="299">
        <v>4.8</v>
      </c>
      <c r="K96" s="321" t="s">
        <v>417</v>
      </c>
      <c r="L96" s="320"/>
      <c r="M96" s="290"/>
      <c r="N96" s="297"/>
    </row>
    <row r="97" spans="1:14" ht="12.75">
      <c r="A97" s="279">
        <v>98</v>
      </c>
      <c r="B97" s="280" t="s">
        <v>111</v>
      </c>
      <c r="C97" s="299" t="s">
        <v>333</v>
      </c>
      <c r="D97" s="302">
        <v>37727.475694444445</v>
      </c>
      <c r="E97" s="304">
        <v>38116</v>
      </c>
      <c r="F97" s="304" t="s">
        <v>351</v>
      </c>
      <c r="G97" s="306" t="s">
        <v>297</v>
      </c>
      <c r="H97" s="299">
        <v>1</v>
      </c>
      <c r="I97" s="299">
        <v>0.5</v>
      </c>
      <c r="J97" s="299">
        <v>9.6</v>
      </c>
      <c r="K97" s="321" t="s">
        <v>417</v>
      </c>
      <c r="L97" s="320"/>
      <c r="M97" s="290"/>
      <c r="N97" s="297"/>
    </row>
    <row r="98" spans="1:14" ht="12.75">
      <c r="A98" s="279">
        <v>99</v>
      </c>
      <c r="B98" s="280" t="s">
        <v>112</v>
      </c>
      <c r="C98" s="299" t="s">
        <v>333</v>
      </c>
      <c r="D98" s="302">
        <v>37727.475694444445</v>
      </c>
      <c r="E98" s="304">
        <v>38116</v>
      </c>
      <c r="F98" s="304" t="s">
        <v>351</v>
      </c>
      <c r="G98" s="306" t="s">
        <v>297</v>
      </c>
      <c r="H98" s="299">
        <v>5</v>
      </c>
      <c r="I98" s="299" t="s">
        <v>331</v>
      </c>
      <c r="J98" s="299">
        <v>4.8</v>
      </c>
      <c r="K98" s="321" t="s">
        <v>417</v>
      </c>
      <c r="L98" s="314"/>
      <c r="M98" s="290"/>
      <c r="N98" s="297"/>
    </row>
    <row r="99" spans="1:14" ht="12.75">
      <c r="A99" s="279">
        <v>100</v>
      </c>
      <c r="B99" s="280" t="s">
        <v>113</v>
      </c>
      <c r="C99" s="299" t="s">
        <v>333</v>
      </c>
      <c r="D99" s="302">
        <v>37727.475694444445</v>
      </c>
      <c r="E99" s="304">
        <v>38116</v>
      </c>
      <c r="F99" s="304" t="s">
        <v>351</v>
      </c>
      <c r="G99" s="306" t="s">
        <v>297</v>
      </c>
      <c r="H99" s="299">
        <v>10</v>
      </c>
      <c r="I99" s="299" t="s">
        <v>332</v>
      </c>
      <c r="J99" s="299">
        <v>4.8</v>
      </c>
      <c r="K99" s="321" t="s">
        <v>417</v>
      </c>
      <c r="L99" s="314"/>
      <c r="M99" s="290"/>
      <c r="N99" s="297"/>
    </row>
    <row r="100" spans="1:14" ht="12.75">
      <c r="A100" s="279">
        <v>101</v>
      </c>
      <c r="B100" s="280" t="s">
        <v>114</v>
      </c>
      <c r="C100" s="299" t="s">
        <v>333</v>
      </c>
      <c r="D100" s="302">
        <v>37727.475694444445</v>
      </c>
      <c r="E100" s="304">
        <v>37733</v>
      </c>
      <c r="F100" s="304" t="s">
        <v>344</v>
      </c>
      <c r="G100" s="306" t="s">
        <v>297</v>
      </c>
      <c r="H100" s="299">
        <v>5</v>
      </c>
      <c r="I100" s="299" t="s">
        <v>308</v>
      </c>
      <c r="J100" s="299" t="s">
        <v>304</v>
      </c>
      <c r="K100" s="321" t="s">
        <v>417</v>
      </c>
      <c r="L100" s="314"/>
      <c r="M100" s="281"/>
      <c r="N100" s="297"/>
    </row>
    <row r="101" spans="1:14" ht="12.75">
      <c r="A101" s="279">
        <v>102</v>
      </c>
      <c r="B101" s="280" t="s">
        <v>115</v>
      </c>
      <c r="C101" s="299" t="str">
        <f aca="true" t="shared" si="0" ref="C101:E108">C100</f>
        <v>Kobe</v>
      </c>
      <c r="D101" s="302">
        <f t="shared" si="0"/>
        <v>37727.475694444445</v>
      </c>
      <c r="E101" s="303">
        <f t="shared" si="0"/>
        <v>37733</v>
      </c>
      <c r="F101" s="304" t="s">
        <v>344</v>
      </c>
      <c r="G101" s="306" t="s">
        <v>297</v>
      </c>
      <c r="H101" s="299">
        <v>0.005</v>
      </c>
      <c r="I101" s="299">
        <v>0.002</v>
      </c>
      <c r="J101" s="299">
        <v>0.005</v>
      </c>
      <c r="K101" s="321" t="s">
        <v>417</v>
      </c>
      <c r="L101" s="320"/>
      <c r="M101" s="293"/>
      <c r="N101" s="297"/>
    </row>
    <row r="102" spans="1:14" ht="12.75">
      <c r="A102" s="279">
        <v>103</v>
      </c>
      <c r="B102" s="280" t="s">
        <v>116</v>
      </c>
      <c r="C102" s="299" t="str">
        <f t="shared" si="0"/>
        <v>Kobe</v>
      </c>
      <c r="D102" s="302">
        <f t="shared" si="0"/>
        <v>37727.475694444445</v>
      </c>
      <c r="E102" s="303">
        <f t="shared" si="0"/>
        <v>37733</v>
      </c>
      <c r="F102" s="304" t="s">
        <v>344</v>
      </c>
      <c r="G102" s="306" t="s">
        <v>297</v>
      </c>
      <c r="H102" s="299">
        <v>0.01</v>
      </c>
      <c r="I102" s="299">
        <v>0.005</v>
      </c>
      <c r="J102" s="299">
        <v>0.01</v>
      </c>
      <c r="K102" s="321" t="s">
        <v>417</v>
      </c>
      <c r="L102" s="320"/>
      <c r="M102" s="293"/>
      <c r="N102" s="297"/>
    </row>
    <row r="103" spans="1:14" ht="12.75">
      <c r="A103" s="279">
        <v>104</v>
      </c>
      <c r="B103" s="280" t="s">
        <v>117</v>
      </c>
      <c r="C103" s="299" t="str">
        <f t="shared" si="0"/>
        <v>Kobe</v>
      </c>
      <c r="D103" s="302">
        <f t="shared" si="0"/>
        <v>37727.475694444445</v>
      </c>
      <c r="E103" s="303">
        <f t="shared" si="0"/>
        <v>37733</v>
      </c>
      <c r="F103" s="304" t="s">
        <v>344</v>
      </c>
      <c r="G103" s="306" t="s">
        <v>297</v>
      </c>
      <c r="H103" s="299">
        <v>0.005</v>
      </c>
      <c r="I103" s="299">
        <v>0.002</v>
      </c>
      <c r="J103" s="299">
        <v>0.005</v>
      </c>
      <c r="K103" s="321" t="s">
        <v>417</v>
      </c>
      <c r="L103" s="320"/>
      <c r="M103" s="293"/>
      <c r="N103" s="297"/>
    </row>
    <row r="104" spans="1:14" ht="12.75">
      <c r="A104" s="279">
        <v>105</v>
      </c>
      <c r="B104" s="280" t="s">
        <v>374</v>
      </c>
      <c r="C104" s="299" t="str">
        <f t="shared" si="0"/>
        <v>Kobe</v>
      </c>
      <c r="D104" s="302">
        <f t="shared" si="0"/>
        <v>37727.475694444445</v>
      </c>
      <c r="E104" s="303">
        <f t="shared" si="0"/>
        <v>37733</v>
      </c>
      <c r="F104" s="304" t="s">
        <v>344</v>
      </c>
      <c r="G104" s="306" t="s">
        <v>297</v>
      </c>
      <c r="H104" s="299">
        <v>0.02</v>
      </c>
      <c r="I104" s="299">
        <v>0.005</v>
      </c>
      <c r="J104" s="299">
        <v>0.01</v>
      </c>
      <c r="K104" s="321" t="s">
        <v>417</v>
      </c>
      <c r="L104" s="320"/>
      <c r="M104" s="293"/>
      <c r="N104" s="297"/>
    </row>
    <row r="105" spans="1:14" ht="12.75">
      <c r="A105" s="279">
        <v>106</v>
      </c>
      <c r="B105" s="280" t="s">
        <v>119</v>
      </c>
      <c r="C105" s="299" t="str">
        <f t="shared" si="0"/>
        <v>Kobe</v>
      </c>
      <c r="D105" s="302">
        <f t="shared" si="0"/>
        <v>37727.475694444445</v>
      </c>
      <c r="E105" s="303">
        <f t="shared" si="0"/>
        <v>37733</v>
      </c>
      <c r="F105" s="304" t="s">
        <v>344</v>
      </c>
      <c r="G105" s="306" t="s">
        <v>297</v>
      </c>
      <c r="H105" s="299">
        <v>0.005</v>
      </c>
      <c r="I105" s="299">
        <v>0.002</v>
      </c>
      <c r="J105" s="299">
        <v>0.005</v>
      </c>
      <c r="K105" s="321" t="s">
        <v>417</v>
      </c>
      <c r="L105" s="320"/>
      <c r="M105" s="293"/>
      <c r="N105" s="297"/>
    </row>
    <row r="106" spans="1:14" ht="12.75">
      <c r="A106" s="279">
        <v>107</v>
      </c>
      <c r="B106" s="280" t="s">
        <v>375</v>
      </c>
      <c r="C106" s="299" t="str">
        <f t="shared" si="0"/>
        <v>Kobe</v>
      </c>
      <c r="D106" s="302">
        <f t="shared" si="0"/>
        <v>37727.475694444445</v>
      </c>
      <c r="E106" s="303">
        <f t="shared" si="0"/>
        <v>37733</v>
      </c>
      <c r="F106" s="304" t="s">
        <v>344</v>
      </c>
      <c r="G106" s="306" t="s">
        <v>297</v>
      </c>
      <c r="H106" s="299">
        <v>0.1</v>
      </c>
      <c r="I106" s="299">
        <v>0.01</v>
      </c>
      <c r="J106" s="299">
        <v>0.05</v>
      </c>
      <c r="K106" s="321" t="s">
        <v>417</v>
      </c>
      <c r="L106" s="320"/>
      <c r="M106" s="293"/>
      <c r="N106" s="297"/>
    </row>
    <row r="107" spans="1:14" ht="12.75">
      <c r="A107" s="279">
        <v>108</v>
      </c>
      <c r="B107" s="280" t="s">
        <v>376</v>
      </c>
      <c r="C107" s="299" t="str">
        <f t="shared" si="0"/>
        <v>Kobe</v>
      </c>
      <c r="D107" s="302">
        <f t="shared" si="0"/>
        <v>37727.475694444445</v>
      </c>
      <c r="E107" s="303">
        <f t="shared" si="0"/>
        <v>37733</v>
      </c>
      <c r="F107" s="304" t="s">
        <v>344</v>
      </c>
      <c r="G107" s="306" t="s">
        <v>297</v>
      </c>
      <c r="H107" s="299">
        <v>0.01</v>
      </c>
      <c r="I107" s="299">
        <v>0.005</v>
      </c>
      <c r="J107" s="299">
        <v>0.01</v>
      </c>
      <c r="K107" s="321" t="s">
        <v>417</v>
      </c>
      <c r="L107" s="320"/>
      <c r="M107" s="293"/>
      <c r="N107" s="297"/>
    </row>
    <row r="108" spans="1:14" ht="12.75">
      <c r="A108" s="279">
        <v>109</v>
      </c>
      <c r="B108" s="280" t="s">
        <v>377</v>
      </c>
      <c r="C108" s="299" t="str">
        <f t="shared" si="0"/>
        <v>Kobe</v>
      </c>
      <c r="D108" s="302">
        <f t="shared" si="0"/>
        <v>37727.475694444445</v>
      </c>
      <c r="E108" s="303">
        <f t="shared" si="0"/>
        <v>37733</v>
      </c>
      <c r="F108" s="304" t="s">
        <v>344</v>
      </c>
      <c r="G108" s="306" t="s">
        <v>297</v>
      </c>
      <c r="H108" s="299">
        <v>0.05</v>
      </c>
      <c r="I108" s="299">
        <v>0.005</v>
      </c>
      <c r="J108" s="299">
        <v>0.01</v>
      </c>
      <c r="K108" s="321" t="s">
        <v>417</v>
      </c>
      <c r="L108" s="320"/>
      <c r="M108" s="293"/>
      <c r="N108" s="297"/>
    </row>
    <row r="109" spans="1:14" ht="12.75">
      <c r="A109" s="279">
        <v>110</v>
      </c>
      <c r="B109" s="280" t="s">
        <v>378</v>
      </c>
      <c r="C109" s="299" t="str">
        <f>C103</f>
        <v>Kobe</v>
      </c>
      <c r="D109" s="302">
        <f>D103</f>
        <v>37727.475694444445</v>
      </c>
      <c r="E109" s="303">
        <v>37733</v>
      </c>
      <c r="F109" s="304" t="s">
        <v>379</v>
      </c>
      <c r="G109" s="306" t="s">
        <v>297</v>
      </c>
      <c r="H109" s="299">
        <v>0.05</v>
      </c>
      <c r="I109" s="299">
        <v>0.01</v>
      </c>
      <c r="J109" s="299">
        <v>0.02</v>
      </c>
      <c r="K109" s="321" t="s">
        <v>417</v>
      </c>
      <c r="L109" s="320"/>
      <c r="M109" s="293"/>
      <c r="N109" s="297"/>
    </row>
    <row r="110" spans="1:14" ht="12.75">
      <c r="A110" s="279">
        <v>111</v>
      </c>
      <c r="B110" s="280" t="s">
        <v>226</v>
      </c>
      <c r="C110" s="299" t="str">
        <f aca="true" t="shared" si="1" ref="C110:E117">C109</f>
        <v>Kobe</v>
      </c>
      <c r="D110" s="302">
        <f t="shared" si="1"/>
        <v>37727.475694444445</v>
      </c>
      <c r="E110" s="303">
        <f t="shared" si="1"/>
        <v>37733</v>
      </c>
      <c r="F110" s="304" t="s">
        <v>379</v>
      </c>
      <c r="G110" s="306" t="s">
        <v>297</v>
      </c>
      <c r="H110" s="299">
        <v>0.01</v>
      </c>
      <c r="I110" s="299">
        <v>0.005</v>
      </c>
      <c r="J110" s="299">
        <v>0.01</v>
      </c>
      <c r="K110" s="321" t="s">
        <v>417</v>
      </c>
      <c r="L110" s="320"/>
      <c r="M110" s="293"/>
      <c r="N110" s="297"/>
    </row>
    <row r="111" spans="1:14" ht="12.75">
      <c r="A111" s="279">
        <v>112</v>
      </c>
      <c r="B111" s="280" t="s">
        <v>380</v>
      </c>
      <c r="C111" s="299" t="str">
        <f t="shared" si="1"/>
        <v>Kobe</v>
      </c>
      <c r="D111" s="302">
        <f t="shared" si="1"/>
        <v>37727.475694444445</v>
      </c>
      <c r="E111" s="303">
        <f t="shared" si="1"/>
        <v>37733</v>
      </c>
      <c r="F111" s="304" t="s">
        <v>379</v>
      </c>
      <c r="G111" s="306" t="s">
        <v>297</v>
      </c>
      <c r="H111" s="299">
        <v>0.02</v>
      </c>
      <c r="I111" s="299">
        <v>0.005</v>
      </c>
      <c r="J111" s="299">
        <v>0.01</v>
      </c>
      <c r="K111" s="321" t="s">
        <v>417</v>
      </c>
      <c r="L111" s="320"/>
      <c r="M111" s="293"/>
      <c r="N111" s="297"/>
    </row>
    <row r="112" spans="1:14" ht="12.75">
      <c r="A112" s="279">
        <v>113</v>
      </c>
      <c r="B112" s="280" t="s">
        <v>381</v>
      </c>
      <c r="C112" s="299" t="str">
        <f t="shared" si="1"/>
        <v>Kobe</v>
      </c>
      <c r="D112" s="302">
        <f t="shared" si="1"/>
        <v>37727.475694444445</v>
      </c>
      <c r="E112" s="303">
        <f t="shared" si="1"/>
        <v>37733</v>
      </c>
      <c r="F112" s="304" t="s">
        <v>379</v>
      </c>
      <c r="G112" s="306" t="s">
        <v>297</v>
      </c>
      <c r="H112" s="299">
        <v>0.01</v>
      </c>
      <c r="I112" s="299">
        <v>0.005</v>
      </c>
      <c r="J112" s="299">
        <v>0.01</v>
      </c>
      <c r="K112" s="321" t="s">
        <v>417</v>
      </c>
      <c r="L112" s="320"/>
      <c r="M112" s="293"/>
      <c r="N112" s="297"/>
    </row>
    <row r="113" spans="1:14" ht="12.75">
      <c r="A113" s="279">
        <v>114</v>
      </c>
      <c r="B113" s="280" t="s">
        <v>382</v>
      </c>
      <c r="C113" s="299" t="str">
        <f t="shared" si="1"/>
        <v>Kobe</v>
      </c>
      <c r="D113" s="302">
        <f t="shared" si="1"/>
        <v>37727.475694444445</v>
      </c>
      <c r="E113" s="303">
        <f t="shared" si="1"/>
        <v>37733</v>
      </c>
      <c r="F113" s="304" t="s">
        <v>379</v>
      </c>
      <c r="G113" s="306" t="s">
        <v>297</v>
      </c>
      <c r="H113" s="299">
        <v>0.05</v>
      </c>
      <c r="I113" s="299">
        <v>0.01</v>
      </c>
      <c r="J113" s="299">
        <v>0.02</v>
      </c>
      <c r="K113" s="321" t="s">
        <v>417</v>
      </c>
      <c r="L113" s="320"/>
      <c r="M113" s="293"/>
      <c r="N113" s="297"/>
    </row>
    <row r="114" spans="1:14" ht="12.75">
      <c r="A114" s="279">
        <v>115</v>
      </c>
      <c r="B114" s="280" t="s">
        <v>128</v>
      </c>
      <c r="C114" s="299" t="str">
        <f t="shared" si="1"/>
        <v>Kobe</v>
      </c>
      <c r="D114" s="302">
        <f t="shared" si="1"/>
        <v>37727.475694444445</v>
      </c>
      <c r="E114" s="303">
        <f t="shared" si="1"/>
        <v>37733</v>
      </c>
      <c r="F114" s="304" t="s">
        <v>379</v>
      </c>
      <c r="G114" s="306" t="s">
        <v>297</v>
      </c>
      <c r="H114" s="299">
        <v>0.01</v>
      </c>
      <c r="I114" s="299">
        <v>0.005</v>
      </c>
      <c r="J114" s="299">
        <v>0.01</v>
      </c>
      <c r="K114" s="321" t="s">
        <v>417</v>
      </c>
      <c r="L114" s="320"/>
      <c r="M114" s="293"/>
      <c r="N114" s="297"/>
    </row>
    <row r="115" spans="1:14" ht="12.75">
      <c r="A115" s="279">
        <v>116</v>
      </c>
      <c r="B115" s="280" t="s">
        <v>129</v>
      </c>
      <c r="C115" s="299" t="str">
        <f t="shared" si="1"/>
        <v>Kobe</v>
      </c>
      <c r="D115" s="302">
        <f t="shared" si="1"/>
        <v>37727.475694444445</v>
      </c>
      <c r="E115" s="303">
        <f t="shared" si="1"/>
        <v>37733</v>
      </c>
      <c r="F115" s="304" t="s">
        <v>379</v>
      </c>
      <c r="G115" s="306" t="s">
        <v>297</v>
      </c>
      <c r="H115" s="299">
        <v>0.01</v>
      </c>
      <c r="I115" s="299">
        <v>0.005</v>
      </c>
      <c r="J115" s="299">
        <v>0.01</v>
      </c>
      <c r="K115" s="321" t="s">
        <v>417</v>
      </c>
      <c r="L115" s="320"/>
      <c r="M115" s="293"/>
      <c r="N115" s="297"/>
    </row>
    <row r="116" spans="1:14" ht="12.75">
      <c r="A116" s="279">
        <v>117</v>
      </c>
      <c r="B116" s="280" t="s">
        <v>130</v>
      </c>
      <c r="C116" s="299" t="str">
        <f t="shared" si="1"/>
        <v>Kobe</v>
      </c>
      <c r="D116" s="302">
        <f t="shared" si="1"/>
        <v>37727.475694444445</v>
      </c>
      <c r="E116" s="303">
        <f t="shared" si="1"/>
        <v>37733</v>
      </c>
      <c r="F116" s="304" t="s">
        <v>379</v>
      </c>
      <c r="G116" s="306" t="s">
        <v>297</v>
      </c>
      <c r="H116" s="299">
        <v>0.01</v>
      </c>
      <c r="I116" s="299">
        <v>0.005</v>
      </c>
      <c r="J116" s="299">
        <v>0.01</v>
      </c>
      <c r="K116" s="321" t="s">
        <v>417</v>
      </c>
      <c r="L116" s="320"/>
      <c r="M116" s="293"/>
      <c r="N116" s="297"/>
    </row>
    <row r="117" spans="1:14" ht="12.75">
      <c r="A117" s="279">
        <v>118</v>
      </c>
      <c r="B117" s="280" t="s">
        <v>131</v>
      </c>
      <c r="C117" s="299" t="str">
        <f t="shared" si="1"/>
        <v>Kobe</v>
      </c>
      <c r="D117" s="302">
        <f t="shared" si="1"/>
        <v>37727.475694444445</v>
      </c>
      <c r="E117" s="303">
        <f t="shared" si="1"/>
        <v>37733</v>
      </c>
      <c r="F117" s="304" t="s">
        <v>379</v>
      </c>
      <c r="G117" s="306" t="s">
        <v>297</v>
      </c>
      <c r="H117" s="299">
        <v>0.01</v>
      </c>
      <c r="I117" s="299">
        <v>0.005</v>
      </c>
      <c r="J117" s="299">
        <v>0.01</v>
      </c>
      <c r="K117" s="321" t="s">
        <v>417</v>
      </c>
      <c r="L117" s="320"/>
      <c r="M117" s="293"/>
      <c r="N117" s="297"/>
    </row>
    <row r="118" spans="1:14" ht="12.75">
      <c r="A118" s="279">
        <v>119</v>
      </c>
      <c r="B118" s="280" t="s">
        <v>383</v>
      </c>
      <c r="C118" s="299" t="str">
        <f aca="true" t="shared" si="2" ref="C118:C125">C117</f>
        <v>Kobe</v>
      </c>
      <c r="D118" s="302">
        <v>37727.475694444445</v>
      </c>
      <c r="E118" s="303">
        <v>37732</v>
      </c>
      <c r="F118" s="304" t="s">
        <v>384</v>
      </c>
      <c r="G118" s="306" t="s">
        <v>297</v>
      </c>
      <c r="H118" s="299">
        <v>0.5</v>
      </c>
      <c r="I118" s="299">
        <v>0.1</v>
      </c>
      <c r="J118" s="299">
        <v>0.5</v>
      </c>
      <c r="K118" s="321" t="s">
        <v>417</v>
      </c>
      <c r="L118" s="320"/>
      <c r="M118" s="290"/>
      <c r="N118" s="297"/>
    </row>
    <row r="119" spans="1:14" ht="12.75">
      <c r="A119" s="279">
        <v>120</v>
      </c>
      <c r="B119" s="280" t="s">
        <v>385</v>
      </c>
      <c r="C119" s="299" t="str">
        <f t="shared" si="2"/>
        <v>Kobe</v>
      </c>
      <c r="D119" s="302">
        <v>37727.475694444445</v>
      </c>
      <c r="E119" s="303">
        <v>37732</v>
      </c>
      <c r="F119" s="304" t="s">
        <v>384</v>
      </c>
      <c r="G119" s="306" t="s">
        <v>297</v>
      </c>
      <c r="H119" s="299">
        <v>0.5</v>
      </c>
      <c r="I119" s="299">
        <v>0.1</v>
      </c>
      <c r="J119" s="299">
        <v>0.5</v>
      </c>
      <c r="K119" s="321" t="s">
        <v>417</v>
      </c>
      <c r="L119" s="320"/>
      <c r="M119" s="290"/>
      <c r="N119" s="297"/>
    </row>
    <row r="120" spans="1:14" ht="12.75">
      <c r="A120" s="279">
        <v>121</v>
      </c>
      <c r="B120" s="280" t="s">
        <v>386</v>
      </c>
      <c r="C120" s="299" t="str">
        <f t="shared" si="2"/>
        <v>Kobe</v>
      </c>
      <c r="D120" s="302">
        <v>37727.475694444445</v>
      </c>
      <c r="E120" s="303">
        <v>37732</v>
      </c>
      <c r="F120" s="304" t="s">
        <v>384</v>
      </c>
      <c r="G120" s="306" t="s">
        <v>297</v>
      </c>
      <c r="H120" s="299">
        <v>0.5</v>
      </c>
      <c r="I120" s="299">
        <v>0.1</v>
      </c>
      <c r="J120" s="299">
        <v>0.5</v>
      </c>
      <c r="K120" s="321" t="s">
        <v>417</v>
      </c>
      <c r="L120" s="320"/>
      <c r="M120" s="290"/>
      <c r="N120" s="297"/>
    </row>
    <row r="121" spans="1:14" ht="12.75">
      <c r="A121" s="279">
        <v>122</v>
      </c>
      <c r="B121" s="280" t="s">
        <v>387</v>
      </c>
      <c r="C121" s="299" t="str">
        <f t="shared" si="2"/>
        <v>Kobe</v>
      </c>
      <c r="D121" s="302">
        <v>37727.475694444445</v>
      </c>
      <c r="E121" s="303">
        <v>37732</v>
      </c>
      <c r="F121" s="304" t="s">
        <v>384</v>
      </c>
      <c r="G121" s="306" t="s">
        <v>297</v>
      </c>
      <c r="H121" s="299">
        <v>0.5</v>
      </c>
      <c r="I121" s="299">
        <v>0.1</v>
      </c>
      <c r="J121" s="299">
        <v>0.5</v>
      </c>
      <c r="K121" s="321" t="s">
        <v>417</v>
      </c>
      <c r="L121" s="320"/>
      <c r="M121" s="290"/>
      <c r="N121" s="297"/>
    </row>
    <row r="122" spans="1:14" ht="12.75">
      <c r="A122" s="279">
        <v>123</v>
      </c>
      <c r="B122" s="280" t="s">
        <v>388</v>
      </c>
      <c r="C122" s="299" t="str">
        <f t="shared" si="2"/>
        <v>Kobe</v>
      </c>
      <c r="D122" s="302">
        <v>37727.475694444445</v>
      </c>
      <c r="E122" s="303">
        <v>37732</v>
      </c>
      <c r="F122" s="304" t="s">
        <v>384</v>
      </c>
      <c r="G122" s="306" t="s">
        <v>297</v>
      </c>
      <c r="H122" s="299">
        <v>0.5</v>
      </c>
      <c r="I122" s="299">
        <v>0.1</v>
      </c>
      <c r="J122" s="299">
        <v>0.5</v>
      </c>
      <c r="K122" s="321" t="s">
        <v>417</v>
      </c>
      <c r="L122" s="320"/>
      <c r="M122" s="290"/>
      <c r="N122" s="297"/>
    </row>
    <row r="123" spans="1:14" ht="12.75">
      <c r="A123" s="279">
        <v>124</v>
      </c>
      <c r="B123" s="280" t="s">
        <v>389</v>
      </c>
      <c r="C123" s="299" t="str">
        <f t="shared" si="2"/>
        <v>Kobe</v>
      </c>
      <c r="D123" s="302">
        <v>37727.475694444445</v>
      </c>
      <c r="E123" s="303">
        <v>37732</v>
      </c>
      <c r="F123" s="304" t="s">
        <v>384</v>
      </c>
      <c r="G123" s="306" t="s">
        <v>297</v>
      </c>
      <c r="H123" s="299">
        <v>0.5</v>
      </c>
      <c r="I123" s="299">
        <v>0.1</v>
      </c>
      <c r="J123" s="299">
        <v>0.5</v>
      </c>
      <c r="K123" s="321" t="s">
        <v>417</v>
      </c>
      <c r="L123" s="320"/>
      <c r="M123" s="290"/>
      <c r="N123" s="297"/>
    </row>
    <row r="124" spans="1:14" ht="12.75">
      <c r="A124" s="279">
        <v>125</v>
      </c>
      <c r="B124" s="280" t="s">
        <v>390</v>
      </c>
      <c r="C124" s="299" t="str">
        <f t="shared" si="2"/>
        <v>Kobe</v>
      </c>
      <c r="D124" s="302">
        <v>37727.475694444445</v>
      </c>
      <c r="E124" s="303">
        <v>37732</v>
      </c>
      <c r="F124" s="304" t="s">
        <v>384</v>
      </c>
      <c r="G124" s="306" t="s">
        <v>297</v>
      </c>
      <c r="H124" s="299">
        <v>0.5</v>
      </c>
      <c r="I124" s="299">
        <v>0.1</v>
      </c>
      <c r="J124" s="299">
        <v>0.5</v>
      </c>
      <c r="K124" s="321" t="s">
        <v>417</v>
      </c>
      <c r="L124" s="320"/>
      <c r="M124" s="290"/>
      <c r="N124" s="297"/>
    </row>
    <row r="125" spans="1:14" ht="12.75">
      <c r="A125" s="279">
        <v>126</v>
      </c>
      <c r="B125" s="280" t="s">
        <v>132</v>
      </c>
      <c r="C125" s="299" t="str">
        <f t="shared" si="2"/>
        <v>Kobe</v>
      </c>
      <c r="D125" s="302">
        <f>D124</f>
        <v>37727.475694444445</v>
      </c>
      <c r="E125" s="303">
        <f>E124</f>
        <v>37732</v>
      </c>
      <c r="F125" s="304" t="s">
        <v>384</v>
      </c>
      <c r="G125" s="306" t="s">
        <v>297</v>
      </c>
      <c r="H125" s="299">
        <v>0.5</v>
      </c>
      <c r="I125" s="299">
        <v>0.1</v>
      </c>
      <c r="J125" s="299">
        <v>0.5</v>
      </c>
      <c r="K125" s="321" t="s">
        <v>417</v>
      </c>
      <c r="L125" s="320"/>
      <c r="M125" s="293"/>
      <c r="N125" s="297"/>
    </row>
    <row r="126" spans="1:14" ht="12.75">
      <c r="A126" s="279" t="s">
        <v>26</v>
      </c>
      <c r="B126" s="280" t="s">
        <v>391</v>
      </c>
      <c r="C126" s="299" t="s">
        <v>333</v>
      </c>
      <c r="D126" s="302">
        <v>37727.475694444445</v>
      </c>
      <c r="E126" s="304">
        <v>37742</v>
      </c>
      <c r="F126" s="304" t="s">
        <v>412</v>
      </c>
      <c r="G126" s="306" t="s">
        <v>297</v>
      </c>
      <c r="H126" s="299">
        <v>2</v>
      </c>
      <c r="I126" s="299" t="s">
        <v>306</v>
      </c>
      <c r="J126" s="299" t="s">
        <v>419</v>
      </c>
      <c r="K126" s="321" t="s">
        <v>417</v>
      </c>
      <c r="L126" s="314"/>
      <c r="M126" s="281"/>
      <c r="N126" s="297"/>
    </row>
    <row r="127" spans="1:14" s="313" customFormat="1" ht="12.75">
      <c r="A127" s="308" t="s">
        <v>27</v>
      </c>
      <c r="B127" s="283" t="s">
        <v>392</v>
      </c>
      <c r="C127" s="309" t="s">
        <v>333</v>
      </c>
      <c r="D127" s="310">
        <v>37727.475694444445</v>
      </c>
      <c r="E127" s="303">
        <v>37727</v>
      </c>
      <c r="F127" s="303" t="s">
        <v>393</v>
      </c>
      <c r="G127" s="307" t="s">
        <v>297</v>
      </c>
      <c r="H127" s="309">
        <v>0.005</v>
      </c>
      <c r="I127" s="309">
        <v>0.005</v>
      </c>
      <c r="J127" s="309">
        <v>0.005</v>
      </c>
      <c r="K127" s="328" t="s">
        <v>334</v>
      </c>
      <c r="L127" s="317"/>
      <c r="M127" s="311"/>
      <c r="N127" s="312"/>
    </row>
    <row r="128" spans="1:14" ht="12.75">
      <c r="A128" s="279"/>
      <c r="B128" s="280" t="s">
        <v>447</v>
      </c>
      <c r="C128" s="299" t="s">
        <v>333</v>
      </c>
      <c r="D128" s="302">
        <v>36923.385416666664</v>
      </c>
      <c r="E128" s="304">
        <v>36938</v>
      </c>
      <c r="F128" s="304" t="s">
        <v>448</v>
      </c>
      <c r="G128" s="306" t="s">
        <v>297</v>
      </c>
      <c r="H128" s="299">
        <v>0.1</v>
      </c>
      <c r="I128" s="299">
        <v>0.1</v>
      </c>
      <c r="J128" s="299"/>
      <c r="K128" s="321" t="s">
        <v>334</v>
      </c>
      <c r="L128" s="314"/>
      <c r="M128" s="294"/>
      <c r="N128" s="297"/>
    </row>
    <row r="129" spans="1:14" ht="12.75">
      <c r="A129" s="279"/>
      <c r="B129" s="280" t="s">
        <v>449</v>
      </c>
      <c r="C129" s="299" t="s">
        <v>333</v>
      </c>
      <c r="D129" s="302">
        <v>36923.385416666664</v>
      </c>
      <c r="E129" s="304">
        <v>36938</v>
      </c>
      <c r="F129" s="304" t="s">
        <v>450</v>
      </c>
      <c r="G129" s="306" t="s">
        <v>297</v>
      </c>
      <c r="H129" s="299">
        <v>20</v>
      </c>
      <c r="I129" s="299">
        <v>20</v>
      </c>
      <c r="J129" s="299"/>
      <c r="K129" s="321" t="s">
        <v>334</v>
      </c>
      <c r="L129" s="314"/>
      <c r="M129" s="294"/>
      <c r="N129" s="297"/>
    </row>
    <row r="130" spans="1:11" ht="12.75">
      <c r="A130" s="279"/>
      <c r="B130" s="280" t="s">
        <v>451</v>
      </c>
      <c r="C130" s="299" t="s">
        <v>333</v>
      </c>
      <c r="D130" s="302">
        <v>36923.385416666664</v>
      </c>
      <c r="E130" s="304">
        <v>36938</v>
      </c>
      <c r="F130" s="299" t="s">
        <v>452</v>
      </c>
      <c r="G130" s="306" t="s">
        <v>297</v>
      </c>
      <c r="H130" s="299">
        <v>5</v>
      </c>
      <c r="I130" s="299">
        <v>5</v>
      </c>
      <c r="J130" s="299"/>
      <c r="K130" s="321" t="s">
        <v>334</v>
      </c>
    </row>
    <row r="131" spans="1:11" ht="12.75">
      <c r="A131" s="279"/>
      <c r="B131" s="280" t="s">
        <v>453</v>
      </c>
      <c r="C131" s="299" t="s">
        <v>333</v>
      </c>
      <c r="D131" s="302">
        <v>36923.385416666664</v>
      </c>
      <c r="E131" s="304">
        <v>36938</v>
      </c>
      <c r="F131" s="299" t="s">
        <v>454</v>
      </c>
      <c r="G131" s="306" t="s">
        <v>297</v>
      </c>
      <c r="H131" s="299"/>
      <c r="I131" s="299"/>
      <c r="J131" s="299"/>
      <c r="K131" s="321" t="s">
        <v>455</v>
      </c>
    </row>
    <row r="132" spans="1:11" ht="12.75">
      <c r="A132" s="279"/>
      <c r="B132" s="280" t="s">
        <v>456</v>
      </c>
      <c r="C132" s="299" t="s">
        <v>333</v>
      </c>
      <c r="D132" s="302">
        <v>36923.385416666664</v>
      </c>
      <c r="E132" s="304">
        <v>36938</v>
      </c>
      <c r="F132" s="299" t="s">
        <v>457</v>
      </c>
      <c r="G132" s="306">
        <v>0.95</v>
      </c>
      <c r="H132" s="299">
        <v>0.1</v>
      </c>
      <c r="I132" s="299">
        <v>0.1</v>
      </c>
      <c r="J132" s="299"/>
      <c r="K132" s="321" t="s">
        <v>334</v>
      </c>
    </row>
    <row r="133" spans="1:11" ht="12.75">
      <c r="A133" s="279"/>
      <c r="B133" s="280" t="s">
        <v>458</v>
      </c>
      <c r="C133" s="299" t="s">
        <v>333</v>
      </c>
      <c r="D133" s="302">
        <v>36923.385416666664</v>
      </c>
      <c r="E133" s="304">
        <v>36938</v>
      </c>
      <c r="F133" s="299" t="s">
        <v>459</v>
      </c>
      <c r="G133" s="306" t="s">
        <v>297</v>
      </c>
      <c r="H133" s="299">
        <v>1</v>
      </c>
      <c r="I133" s="299">
        <v>1</v>
      </c>
      <c r="J133" s="299"/>
      <c r="K133" s="321" t="s">
        <v>334</v>
      </c>
    </row>
    <row r="134" spans="1:11" ht="12.75">
      <c r="A134" s="279"/>
      <c r="B134" s="280" t="s">
        <v>460</v>
      </c>
      <c r="C134" s="299" t="s">
        <v>333</v>
      </c>
      <c r="D134" s="302">
        <v>36923.385416666664</v>
      </c>
      <c r="E134" s="304">
        <v>36938</v>
      </c>
      <c r="F134" s="299" t="s">
        <v>461</v>
      </c>
      <c r="G134" s="306" t="s">
        <v>297</v>
      </c>
      <c r="H134" s="299">
        <v>1</v>
      </c>
      <c r="I134" s="299">
        <v>1</v>
      </c>
      <c r="J134" s="299"/>
      <c r="K134" s="321" t="s">
        <v>334</v>
      </c>
    </row>
    <row r="135" spans="1:11" ht="12.75">
      <c r="A135" s="279"/>
      <c r="B135" s="280" t="s">
        <v>462</v>
      </c>
      <c r="C135" s="299" t="s">
        <v>333</v>
      </c>
      <c r="D135" s="302">
        <v>36923.385416666664</v>
      </c>
      <c r="E135" s="304">
        <v>36938</v>
      </c>
      <c r="F135" s="299" t="s">
        <v>463</v>
      </c>
      <c r="G135" s="306">
        <v>4.1</v>
      </c>
      <c r="H135" s="299">
        <v>0.2</v>
      </c>
      <c r="I135" s="299">
        <v>0.2</v>
      </c>
      <c r="J135" s="299"/>
      <c r="K135" s="321" t="s">
        <v>334</v>
      </c>
    </row>
    <row r="136" spans="1:11" ht="12.75">
      <c r="A136" s="279"/>
      <c r="B136" s="280" t="s">
        <v>464</v>
      </c>
      <c r="C136" s="299" t="s">
        <v>333</v>
      </c>
      <c r="D136" s="302">
        <v>36923.385416666664</v>
      </c>
      <c r="E136" s="304">
        <v>36938</v>
      </c>
      <c r="F136" s="299" t="s">
        <v>465</v>
      </c>
      <c r="G136" s="306" t="s">
        <v>297</v>
      </c>
      <c r="H136" s="299">
        <v>5</v>
      </c>
      <c r="I136" s="299">
        <v>5</v>
      </c>
      <c r="J136" s="299"/>
      <c r="K136" s="321" t="s">
        <v>334</v>
      </c>
    </row>
    <row r="137" spans="1:11" ht="12.75">
      <c r="A137" s="279"/>
      <c r="B137" s="280" t="s">
        <v>405</v>
      </c>
      <c r="C137" s="299" t="s">
        <v>333</v>
      </c>
      <c r="D137" s="302">
        <v>36923.385416666664</v>
      </c>
      <c r="E137" s="304">
        <v>36934</v>
      </c>
      <c r="F137" s="299" t="s">
        <v>414</v>
      </c>
      <c r="G137" s="306">
        <v>0.09</v>
      </c>
      <c r="H137" s="299">
        <v>0.05</v>
      </c>
      <c r="I137" s="299">
        <v>0.05</v>
      </c>
      <c r="J137" s="299"/>
      <c r="K137" s="321" t="s">
        <v>334</v>
      </c>
    </row>
    <row r="138" spans="1:11" ht="12.75">
      <c r="A138" s="279">
        <v>1</v>
      </c>
      <c r="B138" s="280" t="s">
        <v>22</v>
      </c>
      <c r="C138" s="299" t="s">
        <v>333</v>
      </c>
      <c r="D138" s="302">
        <v>36923.385416666664</v>
      </c>
      <c r="E138" s="304">
        <v>36934</v>
      </c>
      <c r="F138" s="299" t="s">
        <v>414</v>
      </c>
      <c r="G138" s="306" t="s">
        <v>297</v>
      </c>
      <c r="H138" s="299">
        <v>0.01</v>
      </c>
      <c r="I138" s="299">
        <v>0.01</v>
      </c>
      <c r="J138" s="299"/>
      <c r="K138" s="321" t="s">
        <v>334</v>
      </c>
    </row>
    <row r="139" spans="1:11" ht="12.75">
      <c r="A139" s="279">
        <v>2</v>
      </c>
      <c r="B139" s="280" t="s">
        <v>152</v>
      </c>
      <c r="C139" s="299" t="s">
        <v>333</v>
      </c>
      <c r="D139" s="302">
        <v>36923.385416666664</v>
      </c>
      <c r="E139" s="304">
        <v>36934</v>
      </c>
      <c r="F139" s="299" t="s">
        <v>414</v>
      </c>
      <c r="G139" s="306" t="s">
        <v>297</v>
      </c>
      <c r="H139" s="299">
        <v>0.005</v>
      </c>
      <c r="I139" s="299">
        <v>0.005</v>
      </c>
      <c r="J139" s="299"/>
      <c r="K139" s="321" t="s">
        <v>334</v>
      </c>
    </row>
    <row r="140" spans="1:11" ht="12.75">
      <c r="A140" s="279"/>
      <c r="B140" s="280" t="s">
        <v>406</v>
      </c>
      <c r="C140" s="299" t="s">
        <v>333</v>
      </c>
      <c r="D140" s="302">
        <v>36923.385416666664</v>
      </c>
      <c r="E140" s="304">
        <v>36934</v>
      </c>
      <c r="F140" s="299" t="s">
        <v>414</v>
      </c>
      <c r="G140" s="306">
        <v>0.03</v>
      </c>
      <c r="H140" s="299">
        <v>0.005</v>
      </c>
      <c r="I140" s="299">
        <v>0.005</v>
      </c>
      <c r="J140" s="299"/>
      <c r="K140" s="321" t="s">
        <v>334</v>
      </c>
    </row>
    <row r="141" spans="1:11" ht="12.75">
      <c r="A141" s="279">
        <v>3</v>
      </c>
      <c r="B141" s="280" t="s">
        <v>203</v>
      </c>
      <c r="C141" s="299" t="s">
        <v>333</v>
      </c>
      <c r="D141" s="302">
        <v>36923.385416666664</v>
      </c>
      <c r="E141" s="304">
        <v>36934</v>
      </c>
      <c r="F141" s="299" t="s">
        <v>414</v>
      </c>
      <c r="G141" s="306" t="s">
        <v>297</v>
      </c>
      <c r="H141" s="299">
        <v>0.005</v>
      </c>
      <c r="I141" s="299">
        <v>0.005</v>
      </c>
      <c r="J141" s="299"/>
      <c r="K141" s="321" t="s">
        <v>334</v>
      </c>
    </row>
    <row r="142" spans="1:11" ht="12.75">
      <c r="A142" s="279"/>
      <c r="B142" s="280" t="s">
        <v>466</v>
      </c>
      <c r="C142" s="299" t="s">
        <v>333</v>
      </c>
      <c r="D142" s="302">
        <v>36923.385416666664</v>
      </c>
      <c r="E142" s="304">
        <v>36934</v>
      </c>
      <c r="F142" s="299" t="s">
        <v>414</v>
      </c>
      <c r="G142" s="306">
        <v>0.13</v>
      </c>
      <c r="H142" s="299">
        <v>0.005</v>
      </c>
      <c r="I142" s="299">
        <v>0.005</v>
      </c>
      <c r="J142" s="299"/>
      <c r="K142" s="321" t="s">
        <v>334</v>
      </c>
    </row>
    <row r="143" spans="1:11" ht="12.75">
      <c r="A143" s="279">
        <v>4</v>
      </c>
      <c r="B143" s="280" t="s">
        <v>204</v>
      </c>
      <c r="C143" s="299" t="s">
        <v>333</v>
      </c>
      <c r="D143" s="302">
        <v>36923.385416666664</v>
      </c>
      <c r="E143" s="304">
        <v>36934</v>
      </c>
      <c r="F143" s="299" t="s">
        <v>414</v>
      </c>
      <c r="G143" s="306" t="s">
        <v>297</v>
      </c>
      <c r="H143" s="299">
        <v>0.005</v>
      </c>
      <c r="I143" s="299">
        <v>0.005</v>
      </c>
      <c r="J143" s="299"/>
      <c r="K143" s="321" t="s">
        <v>334</v>
      </c>
    </row>
    <row r="144" spans="1:11" ht="12.75">
      <c r="A144" s="279" t="s">
        <v>26</v>
      </c>
      <c r="B144" s="280" t="s">
        <v>391</v>
      </c>
      <c r="C144" s="299" t="s">
        <v>333</v>
      </c>
      <c r="D144" s="302">
        <v>36923.385416666664</v>
      </c>
      <c r="E144" s="304">
        <v>36934</v>
      </c>
      <c r="F144" s="299" t="s">
        <v>414</v>
      </c>
      <c r="G144" s="306" t="s">
        <v>297</v>
      </c>
      <c r="H144" s="299">
        <v>0.005</v>
      </c>
      <c r="I144" s="299">
        <v>0.005</v>
      </c>
      <c r="J144" s="299"/>
      <c r="K144" s="321" t="s">
        <v>334</v>
      </c>
    </row>
    <row r="145" spans="1:11" ht="12.75">
      <c r="A145" s="279"/>
      <c r="B145" s="280" t="s">
        <v>467</v>
      </c>
      <c r="C145" s="299" t="s">
        <v>333</v>
      </c>
      <c r="D145" s="302">
        <v>36923.385416666664</v>
      </c>
      <c r="E145" s="304">
        <v>36934</v>
      </c>
      <c r="F145" s="299" t="s">
        <v>414</v>
      </c>
      <c r="G145" s="306" t="s">
        <v>297</v>
      </c>
      <c r="H145" s="299">
        <v>0.005</v>
      </c>
      <c r="I145" s="299">
        <v>0.005</v>
      </c>
      <c r="J145" s="299"/>
      <c r="K145" s="321" t="s">
        <v>334</v>
      </c>
    </row>
    <row r="146" spans="1:11" ht="12.75">
      <c r="A146" s="279">
        <v>6</v>
      </c>
      <c r="B146" s="280" t="s">
        <v>239</v>
      </c>
      <c r="C146" s="299" t="s">
        <v>333</v>
      </c>
      <c r="D146" s="302">
        <v>36923.385416666664</v>
      </c>
      <c r="E146" s="304">
        <v>36934</v>
      </c>
      <c r="F146" s="299" t="s">
        <v>414</v>
      </c>
      <c r="G146" s="306" t="s">
        <v>297</v>
      </c>
      <c r="H146" s="299">
        <v>0.002</v>
      </c>
      <c r="I146" s="299">
        <v>0.002</v>
      </c>
      <c r="J146" s="299"/>
      <c r="K146" s="321" t="s">
        <v>334</v>
      </c>
    </row>
    <row r="147" spans="1:11" ht="12.75">
      <c r="A147" s="279"/>
      <c r="B147" s="280" t="s">
        <v>408</v>
      </c>
      <c r="C147" s="299" t="s">
        <v>333</v>
      </c>
      <c r="D147" s="302">
        <v>36923.385416666664</v>
      </c>
      <c r="E147" s="304">
        <v>36934</v>
      </c>
      <c r="F147" s="299" t="s">
        <v>414</v>
      </c>
      <c r="G147" s="306" t="s">
        <v>297</v>
      </c>
      <c r="H147" s="299">
        <v>0.05</v>
      </c>
      <c r="I147" s="299">
        <v>0.05</v>
      </c>
      <c r="J147" s="299"/>
      <c r="K147" s="321" t="s">
        <v>334</v>
      </c>
    </row>
    <row r="148" spans="1:11" ht="12.75">
      <c r="A148" s="279"/>
      <c r="B148" s="280" t="s">
        <v>206</v>
      </c>
      <c r="C148" s="299" t="s">
        <v>333</v>
      </c>
      <c r="D148" s="302">
        <v>36923.385416666664</v>
      </c>
      <c r="E148" s="304">
        <v>36934</v>
      </c>
      <c r="F148" s="299" t="s">
        <v>414</v>
      </c>
      <c r="G148" s="306" t="s">
        <v>297</v>
      </c>
      <c r="H148" s="299">
        <v>0.015</v>
      </c>
      <c r="I148" s="299">
        <v>0.015</v>
      </c>
      <c r="J148" s="299"/>
      <c r="K148" s="321" t="s">
        <v>334</v>
      </c>
    </row>
    <row r="149" spans="1:11" ht="12.75">
      <c r="A149" s="279"/>
      <c r="B149" s="280" t="s">
        <v>468</v>
      </c>
      <c r="C149" s="299" t="s">
        <v>333</v>
      </c>
      <c r="D149" s="302">
        <v>36923.385416666664</v>
      </c>
      <c r="E149" s="304">
        <v>36934</v>
      </c>
      <c r="F149" s="299" t="s">
        <v>414</v>
      </c>
      <c r="G149" s="306">
        <v>5.1</v>
      </c>
      <c r="H149" s="299">
        <v>0.05</v>
      </c>
      <c r="I149" s="299">
        <v>0.05</v>
      </c>
      <c r="J149" s="299"/>
      <c r="K149" s="321" t="s">
        <v>334</v>
      </c>
    </row>
    <row r="150" spans="1:11" ht="12.75">
      <c r="A150" s="279"/>
      <c r="B150" s="280" t="s">
        <v>469</v>
      </c>
      <c r="C150" s="299" t="s">
        <v>333</v>
      </c>
      <c r="D150" s="302">
        <v>36923.385416666664</v>
      </c>
      <c r="E150" s="304">
        <v>36934</v>
      </c>
      <c r="F150" s="299" t="s">
        <v>470</v>
      </c>
      <c r="G150" s="306" t="s">
        <v>297</v>
      </c>
      <c r="H150" s="299">
        <v>0.005</v>
      </c>
      <c r="I150" s="299">
        <v>0.005</v>
      </c>
      <c r="J150" s="299"/>
      <c r="K150" s="321" t="s">
        <v>334</v>
      </c>
    </row>
    <row r="151" spans="1:11" ht="12.75">
      <c r="A151" s="279">
        <v>8</v>
      </c>
      <c r="B151" s="280" t="s">
        <v>207</v>
      </c>
      <c r="C151" s="299" t="s">
        <v>333</v>
      </c>
      <c r="D151" s="302">
        <v>36923.385416666664</v>
      </c>
      <c r="E151" s="304">
        <v>36934</v>
      </c>
      <c r="F151" s="299" t="s">
        <v>471</v>
      </c>
      <c r="G151" s="306" t="s">
        <v>297</v>
      </c>
      <c r="H151" s="299">
        <v>7E-06</v>
      </c>
      <c r="I151" s="299">
        <v>7E-06</v>
      </c>
      <c r="J151" s="299"/>
      <c r="K151" s="321" t="s">
        <v>334</v>
      </c>
    </row>
    <row r="152" spans="1:11" ht="12.75">
      <c r="A152" s="279"/>
      <c r="B152" s="280" t="s">
        <v>472</v>
      </c>
      <c r="C152" s="299" t="s">
        <v>333</v>
      </c>
      <c r="D152" s="302">
        <v>36923.385416666664</v>
      </c>
      <c r="E152" s="304">
        <v>36934</v>
      </c>
      <c r="F152" s="299" t="s">
        <v>414</v>
      </c>
      <c r="G152" s="306" t="s">
        <v>297</v>
      </c>
      <c r="H152" s="299">
        <v>0.005</v>
      </c>
      <c r="I152" s="299">
        <v>0.005</v>
      </c>
      <c r="J152" s="299"/>
      <c r="K152" s="321" t="s">
        <v>334</v>
      </c>
    </row>
    <row r="153" spans="1:11" ht="12.75">
      <c r="A153" s="279">
        <v>9</v>
      </c>
      <c r="B153" s="280" t="s">
        <v>208</v>
      </c>
      <c r="C153" s="299" t="s">
        <v>333</v>
      </c>
      <c r="D153" s="302">
        <v>36923.385416666664</v>
      </c>
      <c r="E153" s="304">
        <v>36934</v>
      </c>
      <c r="F153" s="299" t="s">
        <v>414</v>
      </c>
      <c r="G153" s="306" t="s">
        <v>297</v>
      </c>
      <c r="H153" s="299">
        <v>0.005</v>
      </c>
      <c r="I153" s="299">
        <v>0.005</v>
      </c>
      <c r="J153" s="299"/>
      <c r="K153" s="321" t="s">
        <v>334</v>
      </c>
    </row>
    <row r="154" spans="1:11" ht="12.75">
      <c r="A154" s="279">
        <v>10</v>
      </c>
      <c r="B154" s="280" t="s">
        <v>209</v>
      </c>
      <c r="C154" s="299" t="s">
        <v>333</v>
      </c>
      <c r="D154" s="302">
        <v>36923.385416666664</v>
      </c>
      <c r="E154" s="304">
        <v>36934</v>
      </c>
      <c r="F154" s="299" t="s">
        <v>414</v>
      </c>
      <c r="G154" s="306" t="s">
        <v>297</v>
      </c>
      <c r="H154" s="299">
        <v>0.015</v>
      </c>
      <c r="I154" s="299">
        <v>0.015</v>
      </c>
      <c r="J154" s="299"/>
      <c r="K154" s="321" t="s">
        <v>334</v>
      </c>
    </row>
    <row r="155" spans="1:11" ht="12.75">
      <c r="A155" s="279">
        <v>11</v>
      </c>
      <c r="B155" s="280" t="s">
        <v>210</v>
      </c>
      <c r="C155" s="299" t="s">
        <v>333</v>
      </c>
      <c r="D155" s="302">
        <v>36923.385416666664</v>
      </c>
      <c r="E155" s="304">
        <v>36934</v>
      </c>
      <c r="F155" s="299" t="s">
        <v>414</v>
      </c>
      <c r="G155" s="306" t="s">
        <v>297</v>
      </c>
      <c r="H155" s="299">
        <v>0.005</v>
      </c>
      <c r="I155" s="299">
        <v>0.005</v>
      </c>
      <c r="J155" s="299"/>
      <c r="K155" s="321" t="s">
        <v>334</v>
      </c>
    </row>
    <row r="156" spans="1:11" ht="12.75">
      <c r="A156" s="279">
        <v>12</v>
      </c>
      <c r="B156" s="280" t="s">
        <v>28</v>
      </c>
      <c r="C156" s="299" t="s">
        <v>333</v>
      </c>
      <c r="D156" s="302">
        <v>36923.385416666664</v>
      </c>
      <c r="E156" s="304">
        <v>36934</v>
      </c>
      <c r="F156" s="299" t="s">
        <v>414</v>
      </c>
      <c r="G156" s="306" t="s">
        <v>297</v>
      </c>
      <c r="H156" s="299">
        <v>0.01</v>
      </c>
      <c r="I156" s="299">
        <v>0.01</v>
      </c>
      <c r="J156" s="299"/>
      <c r="K156" s="321" t="s">
        <v>334</v>
      </c>
    </row>
    <row r="157" spans="1:11" ht="12.75">
      <c r="A157" s="279"/>
      <c r="B157" s="280" t="s">
        <v>473</v>
      </c>
      <c r="C157" s="299" t="s">
        <v>333</v>
      </c>
      <c r="D157" s="302">
        <v>36923.385416666664</v>
      </c>
      <c r="E157" s="304">
        <v>36934</v>
      </c>
      <c r="F157" s="299" t="s">
        <v>414</v>
      </c>
      <c r="G157" s="306" t="s">
        <v>297</v>
      </c>
      <c r="H157" s="299">
        <v>0.02</v>
      </c>
      <c r="I157" s="299">
        <v>0.02</v>
      </c>
      <c r="J157" s="299"/>
      <c r="K157" s="321" t="s">
        <v>334</v>
      </c>
    </row>
    <row r="158" spans="1:11" ht="12.75">
      <c r="A158" s="279"/>
      <c r="B158" s="280" t="s">
        <v>474</v>
      </c>
      <c r="C158" s="299" t="s">
        <v>333</v>
      </c>
      <c r="D158" s="302">
        <v>36923.385416666664</v>
      </c>
      <c r="E158" s="304">
        <v>36934</v>
      </c>
      <c r="F158" s="299" t="s">
        <v>414</v>
      </c>
      <c r="G158" s="306" t="s">
        <v>297</v>
      </c>
      <c r="H158" s="299">
        <v>0.02</v>
      </c>
      <c r="I158" s="299">
        <v>0.02</v>
      </c>
      <c r="J158" s="299"/>
      <c r="K158" s="321" t="s">
        <v>334</v>
      </c>
    </row>
    <row r="159" spans="1:11" ht="12.75">
      <c r="A159" s="279"/>
      <c r="B159" s="280" t="s">
        <v>475</v>
      </c>
      <c r="C159" s="299" t="s">
        <v>333</v>
      </c>
      <c r="D159" s="302">
        <v>36923.385416666664</v>
      </c>
      <c r="E159" s="304">
        <v>36934</v>
      </c>
      <c r="F159" s="299" t="s">
        <v>414</v>
      </c>
      <c r="G159" s="306" t="s">
        <v>297</v>
      </c>
      <c r="H159" s="299">
        <v>0.01</v>
      </c>
      <c r="I159" s="299">
        <v>0.01</v>
      </c>
      <c r="J159" s="299"/>
      <c r="K159" s="321" t="s">
        <v>334</v>
      </c>
    </row>
    <row r="160" spans="1:11" ht="12.75">
      <c r="A160" s="279"/>
      <c r="B160" s="280" t="s">
        <v>211</v>
      </c>
      <c r="C160" s="299" t="s">
        <v>333</v>
      </c>
      <c r="D160" s="302">
        <v>36923.385416666664</v>
      </c>
      <c r="E160" s="304">
        <v>36934</v>
      </c>
      <c r="F160" s="299" t="s">
        <v>414</v>
      </c>
      <c r="G160" s="306" t="s">
        <v>297</v>
      </c>
      <c r="H160" s="299">
        <v>0.005</v>
      </c>
      <c r="I160" s="299">
        <v>0.005</v>
      </c>
      <c r="J160" s="299"/>
      <c r="K160" s="321" t="s">
        <v>334</v>
      </c>
    </row>
    <row r="161" spans="1:11" ht="12.75">
      <c r="A161" s="279">
        <v>103</v>
      </c>
      <c r="B161" s="280" t="s">
        <v>116</v>
      </c>
      <c r="C161" s="299" t="s">
        <v>333</v>
      </c>
      <c r="D161" s="302">
        <v>36923.385416666664</v>
      </c>
      <c r="E161" s="304">
        <v>36938</v>
      </c>
      <c r="F161" s="299" t="s">
        <v>476</v>
      </c>
      <c r="G161" s="306" t="s">
        <v>297</v>
      </c>
      <c r="H161" s="299">
        <v>0.04</v>
      </c>
      <c r="I161" s="299">
        <v>0.04</v>
      </c>
      <c r="J161" s="299"/>
      <c r="K161" s="321" t="s">
        <v>477</v>
      </c>
    </row>
    <row r="162" spans="1:14" ht="12.75">
      <c r="A162" s="279">
        <v>105</v>
      </c>
      <c r="B162" s="280" t="s">
        <v>374</v>
      </c>
      <c r="C162" s="299" t="s">
        <v>333</v>
      </c>
      <c r="D162" s="302">
        <v>36923.385416666664</v>
      </c>
      <c r="E162" s="304">
        <v>36938</v>
      </c>
      <c r="F162" s="299" t="s">
        <v>476</v>
      </c>
      <c r="G162" s="306" t="s">
        <v>297</v>
      </c>
      <c r="H162" s="299">
        <v>0.04</v>
      </c>
      <c r="I162" s="299">
        <v>0.04</v>
      </c>
      <c r="J162" s="299"/>
      <c r="K162" s="321" t="s">
        <v>477</v>
      </c>
      <c r="L162" s="314"/>
      <c r="M162" s="294"/>
      <c r="N162" s="297"/>
    </row>
    <row r="163" spans="1:14" ht="12.75">
      <c r="A163" s="279">
        <v>104</v>
      </c>
      <c r="B163" s="280" t="s">
        <v>117</v>
      </c>
      <c r="C163" s="299" t="s">
        <v>333</v>
      </c>
      <c r="D163" s="302">
        <v>36923.385416666664</v>
      </c>
      <c r="E163" s="304">
        <v>36938</v>
      </c>
      <c r="F163" s="299" t="s">
        <v>476</v>
      </c>
      <c r="G163" s="306" t="s">
        <v>297</v>
      </c>
      <c r="H163" s="299">
        <v>0.04</v>
      </c>
      <c r="I163" s="299">
        <v>0.04</v>
      </c>
      <c r="J163" s="299"/>
      <c r="K163" s="321" t="s">
        <v>477</v>
      </c>
      <c r="L163" s="314"/>
      <c r="M163" s="294"/>
      <c r="N163" s="297"/>
    </row>
    <row r="164" spans="1:14" ht="12.75">
      <c r="A164" s="279"/>
      <c r="B164" s="280" t="s">
        <v>130</v>
      </c>
      <c r="C164" s="299" t="s">
        <v>333</v>
      </c>
      <c r="D164" s="302">
        <v>36923.385416666664</v>
      </c>
      <c r="E164" s="304">
        <v>36938</v>
      </c>
      <c r="F164" s="299" t="s">
        <v>476</v>
      </c>
      <c r="G164" s="306" t="s">
        <v>297</v>
      </c>
      <c r="H164" s="299">
        <v>0.04</v>
      </c>
      <c r="I164" s="299">
        <v>0.04</v>
      </c>
      <c r="J164" s="299"/>
      <c r="K164" s="321" t="s">
        <v>477</v>
      </c>
      <c r="L164" s="314"/>
      <c r="M164" s="294"/>
      <c r="N164" s="297"/>
    </row>
    <row r="165" spans="1:14" ht="12.75">
      <c r="A165" s="279">
        <v>106</v>
      </c>
      <c r="B165" s="280" t="s">
        <v>119</v>
      </c>
      <c r="C165" s="299" t="s">
        <v>333</v>
      </c>
      <c r="D165" s="302">
        <v>36923.385416666664</v>
      </c>
      <c r="E165" s="304">
        <v>36938</v>
      </c>
      <c r="F165" s="299" t="s">
        <v>476</v>
      </c>
      <c r="G165" s="306" t="s">
        <v>297</v>
      </c>
      <c r="H165" s="299">
        <v>0.04</v>
      </c>
      <c r="I165" s="299">
        <v>0.04</v>
      </c>
      <c r="J165" s="299"/>
      <c r="K165" s="321" t="s">
        <v>477</v>
      </c>
      <c r="L165" s="314"/>
      <c r="M165" s="294"/>
      <c r="N165" s="297"/>
    </row>
    <row r="166" spans="1:14" ht="12.75">
      <c r="A166" s="279">
        <v>102</v>
      </c>
      <c r="B166" s="280" t="s">
        <v>115</v>
      </c>
      <c r="C166" s="299" t="s">
        <v>333</v>
      </c>
      <c r="D166" s="302">
        <v>36923.385416666664</v>
      </c>
      <c r="E166" s="304">
        <v>36938</v>
      </c>
      <c r="F166" s="299" t="s">
        <v>476</v>
      </c>
      <c r="G166" s="306" t="s">
        <v>297</v>
      </c>
      <c r="H166" s="299">
        <v>0.04</v>
      </c>
      <c r="I166" s="299">
        <v>0.04</v>
      </c>
      <c r="J166" s="299"/>
      <c r="K166" s="321" t="s">
        <v>477</v>
      </c>
      <c r="L166" s="314"/>
      <c r="M166" s="294"/>
      <c r="N166" s="297"/>
    </row>
    <row r="167" spans="1:14" ht="12.75">
      <c r="A167" s="279">
        <v>118</v>
      </c>
      <c r="B167" s="280" t="s">
        <v>131</v>
      </c>
      <c r="C167" s="299" t="s">
        <v>333</v>
      </c>
      <c r="D167" s="302">
        <v>36923.385416666664</v>
      </c>
      <c r="E167" s="304">
        <v>36938</v>
      </c>
      <c r="F167" s="299" t="s">
        <v>476</v>
      </c>
      <c r="G167" s="306" t="s">
        <v>297</v>
      </c>
      <c r="H167" s="299">
        <v>0.04</v>
      </c>
      <c r="I167" s="299">
        <v>0.04</v>
      </c>
      <c r="J167" s="299"/>
      <c r="K167" s="321" t="s">
        <v>477</v>
      </c>
      <c r="L167" s="314"/>
      <c r="M167" s="294"/>
      <c r="N167" s="297"/>
    </row>
    <row r="168" spans="1:14" ht="12.75">
      <c r="A168" s="279"/>
      <c r="B168" s="280" t="s">
        <v>478</v>
      </c>
      <c r="C168" s="299" t="s">
        <v>333</v>
      </c>
      <c r="D168" s="302">
        <v>36923.385416666664</v>
      </c>
      <c r="E168" s="304">
        <v>36938</v>
      </c>
      <c r="F168" s="299" t="s">
        <v>476</v>
      </c>
      <c r="G168" s="306" t="s">
        <v>297</v>
      </c>
      <c r="H168" s="299">
        <v>0.04</v>
      </c>
      <c r="I168" s="299">
        <v>0.04</v>
      </c>
      <c r="J168" s="299"/>
      <c r="K168" s="321" t="s">
        <v>477</v>
      </c>
      <c r="L168" s="314"/>
      <c r="M168" s="294"/>
      <c r="N168" s="297"/>
    </row>
    <row r="169" spans="1:11" ht="12.75">
      <c r="A169" s="279"/>
      <c r="B169" s="280" t="s">
        <v>479</v>
      </c>
      <c r="C169" s="299" t="s">
        <v>333</v>
      </c>
      <c r="D169" s="302">
        <v>36923.385416666664</v>
      </c>
      <c r="E169" s="304">
        <v>36938</v>
      </c>
      <c r="F169" s="299" t="s">
        <v>476</v>
      </c>
      <c r="G169" s="306" t="s">
        <v>297</v>
      </c>
      <c r="H169" s="299">
        <v>0.04</v>
      </c>
      <c r="I169" s="299">
        <v>0.04</v>
      </c>
      <c r="J169" s="299"/>
      <c r="K169" s="321" t="s">
        <v>477</v>
      </c>
    </row>
    <row r="170" spans="1:11" ht="12.75">
      <c r="A170" s="279">
        <v>111</v>
      </c>
      <c r="B170" s="280" t="s">
        <v>226</v>
      </c>
      <c r="C170" s="299" t="s">
        <v>333</v>
      </c>
      <c r="D170" s="302">
        <v>36923.385416666664</v>
      </c>
      <c r="E170" s="304">
        <v>36938</v>
      </c>
      <c r="F170" s="299" t="s">
        <v>476</v>
      </c>
      <c r="G170" s="306" t="s">
        <v>297</v>
      </c>
      <c r="H170" s="299">
        <v>0.04</v>
      </c>
      <c r="I170" s="299">
        <v>0.04</v>
      </c>
      <c r="J170" s="299"/>
      <c r="K170" s="321" t="s">
        <v>477</v>
      </c>
    </row>
    <row r="171" spans="1:11" ht="12.75">
      <c r="A171" s="279">
        <v>115</v>
      </c>
      <c r="B171" s="280" t="s">
        <v>128</v>
      </c>
      <c r="C171" s="299" t="s">
        <v>333</v>
      </c>
      <c r="D171" s="302">
        <v>36923.385416666664</v>
      </c>
      <c r="E171" s="304">
        <v>36938</v>
      </c>
      <c r="F171" s="299" t="s">
        <v>476</v>
      </c>
      <c r="G171" s="306" t="s">
        <v>297</v>
      </c>
      <c r="H171" s="299">
        <v>0.04</v>
      </c>
      <c r="I171" s="299">
        <v>0.04</v>
      </c>
      <c r="J171" s="299"/>
      <c r="K171" s="321" t="s">
        <v>477</v>
      </c>
    </row>
    <row r="172" spans="1:11" ht="12.75">
      <c r="A172" s="279"/>
      <c r="B172" s="280" t="s">
        <v>123</v>
      </c>
      <c r="C172" s="299" t="s">
        <v>333</v>
      </c>
      <c r="D172" s="302">
        <v>36923.385416666664</v>
      </c>
      <c r="E172" s="304">
        <v>36938</v>
      </c>
      <c r="F172" s="299" t="s">
        <v>476</v>
      </c>
      <c r="G172" s="306" t="s">
        <v>297</v>
      </c>
      <c r="H172" s="299">
        <v>0.04</v>
      </c>
      <c r="I172" s="299">
        <v>0.04</v>
      </c>
      <c r="J172" s="299"/>
      <c r="K172" s="321" t="s">
        <v>477</v>
      </c>
    </row>
    <row r="173" spans="1:11" ht="12.75">
      <c r="A173" s="279"/>
      <c r="B173" s="280" t="s">
        <v>381</v>
      </c>
      <c r="C173" s="299" t="s">
        <v>333</v>
      </c>
      <c r="D173" s="302">
        <v>36923.385416666664</v>
      </c>
      <c r="E173" s="304">
        <v>36938</v>
      </c>
      <c r="F173" s="299" t="s">
        <v>476</v>
      </c>
      <c r="G173" s="306" t="s">
        <v>297</v>
      </c>
      <c r="H173" s="299">
        <v>0.04</v>
      </c>
      <c r="I173" s="299">
        <v>0.04</v>
      </c>
      <c r="J173" s="299"/>
      <c r="K173" s="321" t="s">
        <v>477</v>
      </c>
    </row>
    <row r="174" spans="1:11" ht="12.75">
      <c r="A174" s="279"/>
      <c r="B174" s="280" t="s">
        <v>480</v>
      </c>
      <c r="C174" s="299" t="s">
        <v>333</v>
      </c>
      <c r="D174" s="302">
        <v>36923.385416666664</v>
      </c>
      <c r="E174" s="304">
        <v>36938</v>
      </c>
      <c r="F174" s="299" t="s">
        <v>476</v>
      </c>
      <c r="G174" s="306" t="s">
        <v>297</v>
      </c>
      <c r="H174" s="299">
        <v>0.04</v>
      </c>
      <c r="I174" s="299">
        <v>0.04</v>
      </c>
      <c r="J174" s="299"/>
      <c r="K174" s="321" t="s">
        <v>477</v>
      </c>
    </row>
    <row r="175" spans="1:11" ht="12.75">
      <c r="A175" s="279">
        <v>116</v>
      </c>
      <c r="B175" s="280" t="s">
        <v>129</v>
      </c>
      <c r="C175" s="299" t="s">
        <v>333</v>
      </c>
      <c r="D175" s="302">
        <v>36923.385416666664</v>
      </c>
      <c r="E175" s="304">
        <v>36938</v>
      </c>
      <c r="F175" s="299" t="s">
        <v>476</v>
      </c>
      <c r="G175" s="306" t="s">
        <v>297</v>
      </c>
      <c r="H175" s="299">
        <v>0.04</v>
      </c>
      <c r="I175" s="299">
        <v>0.04</v>
      </c>
      <c r="J175" s="299"/>
      <c r="K175" s="321" t="s">
        <v>477</v>
      </c>
    </row>
    <row r="176" spans="1:11" ht="12.75">
      <c r="A176" s="279">
        <v>114</v>
      </c>
      <c r="B176" s="280" t="s">
        <v>382</v>
      </c>
      <c r="C176" s="299" t="s">
        <v>333</v>
      </c>
      <c r="D176" s="302">
        <v>36923.385416666664</v>
      </c>
      <c r="E176" s="304">
        <v>36938</v>
      </c>
      <c r="F176" s="299" t="s">
        <v>476</v>
      </c>
      <c r="G176" s="306" t="s">
        <v>297</v>
      </c>
      <c r="H176" s="299">
        <v>0.04</v>
      </c>
      <c r="I176" s="299">
        <v>0.04</v>
      </c>
      <c r="J176" s="299"/>
      <c r="K176" s="321" t="s">
        <v>477</v>
      </c>
    </row>
    <row r="177" spans="1:11" ht="12.75">
      <c r="A177" s="279"/>
      <c r="B177" s="280" t="s">
        <v>411</v>
      </c>
      <c r="C177" s="299" t="s">
        <v>333</v>
      </c>
      <c r="D177" s="302">
        <v>36923.385416666664</v>
      </c>
      <c r="E177" s="304">
        <v>36938</v>
      </c>
      <c r="F177" s="299" t="s">
        <v>476</v>
      </c>
      <c r="G177" s="306" t="s">
        <v>297</v>
      </c>
      <c r="H177" s="299">
        <v>0.04</v>
      </c>
      <c r="I177" s="299">
        <v>0.04</v>
      </c>
      <c r="J177" s="299"/>
      <c r="K177" s="321" t="s">
        <v>477</v>
      </c>
    </row>
    <row r="178" spans="1:11" ht="12.75">
      <c r="A178" s="279"/>
      <c r="B178" s="280" t="s">
        <v>481</v>
      </c>
      <c r="C178" s="299" t="s">
        <v>333</v>
      </c>
      <c r="D178" s="302">
        <v>36923.385416666664</v>
      </c>
      <c r="E178" s="304">
        <v>36938</v>
      </c>
      <c r="F178" s="299" t="s">
        <v>476</v>
      </c>
      <c r="G178" s="306" t="s">
        <v>297</v>
      </c>
      <c r="H178" s="299">
        <v>0.04</v>
      </c>
      <c r="I178" s="299">
        <v>0.04</v>
      </c>
      <c r="J178" s="299"/>
      <c r="K178" s="321" t="s">
        <v>477</v>
      </c>
    </row>
    <row r="179" spans="1:11" ht="12.75">
      <c r="A179" s="279">
        <v>107</v>
      </c>
      <c r="B179" s="280" t="s">
        <v>375</v>
      </c>
      <c r="C179" s="299" t="s">
        <v>333</v>
      </c>
      <c r="D179" s="302">
        <v>36923.385416666664</v>
      </c>
      <c r="E179" s="304">
        <v>36980</v>
      </c>
      <c r="F179" s="299" t="s">
        <v>476</v>
      </c>
      <c r="G179" s="306" t="s">
        <v>297</v>
      </c>
      <c r="H179" s="299">
        <v>0.2</v>
      </c>
      <c r="I179" s="299">
        <v>0.2</v>
      </c>
      <c r="J179" s="299">
        <v>0.05</v>
      </c>
      <c r="K179" s="321"/>
    </row>
    <row r="180" spans="1:11" ht="12.75">
      <c r="A180" s="279">
        <v>126</v>
      </c>
      <c r="B180" s="280" t="s">
        <v>132</v>
      </c>
      <c r="C180" s="299" t="s">
        <v>333</v>
      </c>
      <c r="D180" s="302">
        <v>36923.385416666664</v>
      </c>
      <c r="E180" s="304">
        <v>36980</v>
      </c>
      <c r="F180" s="299" t="s">
        <v>476</v>
      </c>
      <c r="G180" s="306" t="s">
        <v>297</v>
      </c>
      <c r="H180" s="299">
        <v>0.2</v>
      </c>
      <c r="I180" s="299">
        <v>0.2</v>
      </c>
      <c r="J180" s="299"/>
      <c r="K180" s="321"/>
    </row>
    <row r="181" spans="1:11" ht="12.75">
      <c r="A181" s="279">
        <v>96</v>
      </c>
      <c r="B181" s="280" t="s">
        <v>109</v>
      </c>
      <c r="C181" s="299" t="s">
        <v>333</v>
      </c>
      <c r="D181" s="302">
        <v>36923.385416666664</v>
      </c>
      <c r="E181" s="304">
        <v>36938</v>
      </c>
      <c r="F181" s="299" t="s">
        <v>351</v>
      </c>
      <c r="G181" s="306" t="s">
        <v>297</v>
      </c>
      <c r="H181" s="299">
        <v>5</v>
      </c>
      <c r="I181" s="299">
        <v>5</v>
      </c>
      <c r="J181" s="299"/>
      <c r="K181" s="321" t="s">
        <v>477</v>
      </c>
    </row>
    <row r="182" spans="1:11" ht="12.75">
      <c r="A182" s="279"/>
      <c r="B182" s="280" t="s">
        <v>482</v>
      </c>
      <c r="C182" s="299" t="s">
        <v>333</v>
      </c>
      <c r="D182" s="302">
        <v>36923.385416666664</v>
      </c>
      <c r="E182" s="304">
        <v>36938</v>
      </c>
      <c r="F182" s="299" t="s">
        <v>351</v>
      </c>
      <c r="G182" s="306" t="s">
        <v>297</v>
      </c>
      <c r="H182" s="299">
        <v>5</v>
      </c>
      <c r="I182" s="299">
        <v>5</v>
      </c>
      <c r="J182" s="299"/>
      <c r="K182" s="321" t="s">
        <v>477</v>
      </c>
    </row>
    <row r="183" spans="1:11" ht="12.75">
      <c r="A183" s="279"/>
      <c r="B183" s="280" t="s">
        <v>483</v>
      </c>
      <c r="C183" s="299" t="s">
        <v>333</v>
      </c>
      <c r="D183" s="302">
        <v>36923.385416666664</v>
      </c>
      <c r="E183" s="304">
        <v>36938</v>
      </c>
      <c r="F183" s="299" t="s">
        <v>351</v>
      </c>
      <c r="G183" s="306" t="s">
        <v>297</v>
      </c>
      <c r="H183" s="299">
        <v>5</v>
      </c>
      <c r="I183" s="299">
        <v>5</v>
      </c>
      <c r="J183" s="299"/>
      <c r="K183" s="321" t="s">
        <v>477</v>
      </c>
    </row>
    <row r="184" spans="1:11" ht="12.75">
      <c r="A184" s="279">
        <v>54</v>
      </c>
      <c r="B184" s="280" t="s">
        <v>67</v>
      </c>
      <c r="C184" s="299" t="s">
        <v>333</v>
      </c>
      <c r="D184" s="302">
        <v>36923.385416666664</v>
      </c>
      <c r="E184" s="304">
        <v>36938</v>
      </c>
      <c r="F184" s="299" t="s">
        <v>351</v>
      </c>
      <c r="G184" s="306" t="s">
        <v>297</v>
      </c>
      <c r="H184" s="299">
        <v>5</v>
      </c>
      <c r="I184" s="299">
        <v>5</v>
      </c>
      <c r="J184" s="299"/>
      <c r="K184" s="321" t="s">
        <v>477</v>
      </c>
    </row>
    <row r="185" spans="1:11" ht="12.75">
      <c r="A185" s="279">
        <v>76</v>
      </c>
      <c r="B185" s="280" t="s">
        <v>89</v>
      </c>
      <c r="C185" s="299" t="s">
        <v>333</v>
      </c>
      <c r="D185" s="302">
        <v>36923.385416666664</v>
      </c>
      <c r="E185" s="304">
        <v>36938</v>
      </c>
      <c r="F185" s="299" t="s">
        <v>351</v>
      </c>
      <c r="G185" s="306" t="s">
        <v>297</v>
      </c>
      <c r="H185" s="299">
        <v>5</v>
      </c>
      <c r="I185" s="299">
        <v>5</v>
      </c>
      <c r="J185" s="299"/>
      <c r="K185" s="321" t="s">
        <v>477</v>
      </c>
    </row>
    <row r="186" spans="1:11" ht="12.75">
      <c r="A186" s="279">
        <v>77</v>
      </c>
      <c r="B186" s="280" t="s">
        <v>90</v>
      </c>
      <c r="C186" s="299" t="s">
        <v>333</v>
      </c>
      <c r="D186" s="302">
        <v>36923.385416666664</v>
      </c>
      <c r="E186" s="304">
        <v>36938</v>
      </c>
      <c r="F186" s="299" t="s">
        <v>351</v>
      </c>
      <c r="G186" s="306" t="s">
        <v>297</v>
      </c>
      <c r="H186" s="299">
        <v>5</v>
      </c>
      <c r="I186" s="299">
        <v>5</v>
      </c>
      <c r="J186" s="299"/>
      <c r="K186" s="321" t="s">
        <v>477</v>
      </c>
    </row>
    <row r="187" spans="1:11" ht="12.75">
      <c r="A187" s="279">
        <v>75</v>
      </c>
      <c r="B187" s="280" t="s">
        <v>88</v>
      </c>
      <c r="C187" s="299" t="s">
        <v>333</v>
      </c>
      <c r="D187" s="302">
        <v>36923.385416666664</v>
      </c>
      <c r="E187" s="304">
        <v>36938</v>
      </c>
      <c r="F187" s="299" t="s">
        <v>351</v>
      </c>
      <c r="G187" s="306" t="s">
        <v>297</v>
      </c>
      <c r="H187" s="299">
        <v>5</v>
      </c>
      <c r="I187" s="299">
        <v>5</v>
      </c>
      <c r="J187" s="299"/>
      <c r="K187" s="321" t="s">
        <v>477</v>
      </c>
    </row>
    <row r="188" spans="1:11" ht="12.75">
      <c r="A188" s="279"/>
      <c r="B188" s="280" t="s">
        <v>484</v>
      </c>
      <c r="C188" s="299" t="s">
        <v>333</v>
      </c>
      <c r="D188" s="302">
        <v>36923.385416666664</v>
      </c>
      <c r="E188" s="304">
        <v>36938</v>
      </c>
      <c r="F188" s="299" t="s">
        <v>351</v>
      </c>
      <c r="G188" s="306" t="s">
        <v>297</v>
      </c>
      <c r="H188" s="299">
        <v>10</v>
      </c>
      <c r="I188" s="299">
        <v>10</v>
      </c>
      <c r="J188" s="299"/>
      <c r="K188" s="321" t="s">
        <v>477</v>
      </c>
    </row>
    <row r="189" spans="1:11" ht="12.75">
      <c r="A189" s="279"/>
      <c r="B189" s="280" t="s">
        <v>485</v>
      </c>
      <c r="C189" s="299" t="s">
        <v>333</v>
      </c>
      <c r="D189" s="302">
        <v>36923.385416666664</v>
      </c>
      <c r="E189" s="304">
        <v>36938</v>
      </c>
      <c r="F189" s="299" t="s">
        <v>351</v>
      </c>
      <c r="G189" s="306" t="s">
        <v>297</v>
      </c>
      <c r="H189" s="299">
        <v>5</v>
      </c>
      <c r="I189" s="299">
        <v>5</v>
      </c>
      <c r="J189" s="299"/>
      <c r="K189" s="321" t="s">
        <v>477</v>
      </c>
    </row>
    <row r="190" spans="1:11" ht="12.75">
      <c r="A190" s="279"/>
      <c r="B190" s="280" t="s">
        <v>486</v>
      </c>
      <c r="C190" s="299" t="s">
        <v>333</v>
      </c>
      <c r="D190" s="302">
        <v>36923.385416666664</v>
      </c>
      <c r="E190" s="304">
        <v>36938</v>
      </c>
      <c r="F190" s="299" t="s">
        <v>351</v>
      </c>
      <c r="G190" s="306" t="s">
        <v>297</v>
      </c>
      <c r="H190" s="299">
        <v>5</v>
      </c>
      <c r="I190" s="299">
        <v>5</v>
      </c>
      <c r="J190" s="299"/>
      <c r="K190" s="321" t="s">
        <v>477</v>
      </c>
    </row>
    <row r="191" spans="1:11" ht="12.75">
      <c r="A191" s="279">
        <v>91</v>
      </c>
      <c r="B191" s="280" t="s">
        <v>104</v>
      </c>
      <c r="C191" s="299" t="s">
        <v>333</v>
      </c>
      <c r="D191" s="302">
        <v>36923.385416666664</v>
      </c>
      <c r="E191" s="304">
        <v>36938</v>
      </c>
      <c r="F191" s="299" t="s">
        <v>351</v>
      </c>
      <c r="G191" s="306" t="s">
        <v>297</v>
      </c>
      <c r="H191" s="299">
        <v>5</v>
      </c>
      <c r="I191" s="299">
        <v>5</v>
      </c>
      <c r="J191" s="299"/>
      <c r="K191" s="321" t="s">
        <v>477</v>
      </c>
    </row>
    <row r="192" spans="1:11" ht="12.75">
      <c r="A192" s="279"/>
      <c r="B192" s="280" t="s">
        <v>487</v>
      </c>
      <c r="C192" s="299" t="s">
        <v>333</v>
      </c>
      <c r="D192" s="302">
        <v>36923.385416666664</v>
      </c>
      <c r="E192" s="304">
        <v>36938</v>
      </c>
      <c r="F192" s="299" t="s">
        <v>351</v>
      </c>
      <c r="G192" s="306" t="s">
        <v>297</v>
      </c>
      <c r="H192" s="299">
        <v>5</v>
      </c>
      <c r="I192" s="299">
        <v>5</v>
      </c>
      <c r="J192" s="299"/>
      <c r="K192" s="321" t="s">
        <v>477</v>
      </c>
    </row>
    <row r="193" spans="1:11" ht="12.75">
      <c r="A193" s="279"/>
      <c r="B193" s="280" t="s">
        <v>488</v>
      </c>
      <c r="C193" s="299" t="s">
        <v>333</v>
      </c>
      <c r="D193" s="302">
        <v>36923.385416666664</v>
      </c>
      <c r="E193" s="304">
        <v>36938</v>
      </c>
      <c r="F193" s="299" t="s">
        <v>351</v>
      </c>
      <c r="G193" s="306" t="s">
        <v>297</v>
      </c>
      <c r="H193" s="299">
        <v>5</v>
      </c>
      <c r="I193" s="299">
        <v>5</v>
      </c>
      <c r="J193" s="299"/>
      <c r="K193" s="321" t="s">
        <v>477</v>
      </c>
    </row>
    <row r="194" spans="1:11" ht="12.75">
      <c r="A194" s="279">
        <v>95</v>
      </c>
      <c r="B194" s="280" t="s">
        <v>108</v>
      </c>
      <c r="C194" s="299" t="s">
        <v>333</v>
      </c>
      <c r="D194" s="302">
        <v>36923.385416666664</v>
      </c>
      <c r="E194" s="304">
        <v>36938</v>
      </c>
      <c r="F194" s="299" t="s">
        <v>351</v>
      </c>
      <c r="G194" s="306" t="s">
        <v>297</v>
      </c>
      <c r="H194" s="299">
        <v>5</v>
      </c>
      <c r="I194" s="299">
        <v>5</v>
      </c>
      <c r="J194" s="299"/>
      <c r="K194" s="321" t="s">
        <v>477</v>
      </c>
    </row>
    <row r="195" spans="1:11" ht="12.75">
      <c r="A195" s="279">
        <v>93</v>
      </c>
      <c r="B195" s="280" t="s">
        <v>106</v>
      </c>
      <c r="C195" s="299" t="s">
        <v>333</v>
      </c>
      <c r="D195" s="302">
        <v>36923.385416666664</v>
      </c>
      <c r="E195" s="304">
        <v>36938</v>
      </c>
      <c r="F195" s="299" t="s">
        <v>351</v>
      </c>
      <c r="G195" s="306" t="s">
        <v>297</v>
      </c>
      <c r="H195" s="299">
        <v>5</v>
      </c>
      <c r="I195" s="299">
        <v>5</v>
      </c>
      <c r="J195" s="299"/>
      <c r="K195" s="321" t="s">
        <v>477</v>
      </c>
    </row>
    <row r="196" spans="1:11" ht="12.75">
      <c r="A196" s="279">
        <v>50</v>
      </c>
      <c r="B196" s="280" t="s">
        <v>63</v>
      </c>
      <c r="C196" s="299" t="s">
        <v>333</v>
      </c>
      <c r="D196" s="302">
        <v>36923.385416666664</v>
      </c>
      <c r="E196" s="304">
        <v>36938</v>
      </c>
      <c r="F196" s="299" t="s">
        <v>351</v>
      </c>
      <c r="G196" s="306" t="s">
        <v>297</v>
      </c>
      <c r="H196" s="299">
        <v>5</v>
      </c>
      <c r="I196" s="299">
        <v>5</v>
      </c>
      <c r="J196" s="299"/>
      <c r="K196" s="321" t="s">
        <v>477</v>
      </c>
    </row>
    <row r="197" spans="1:11" ht="12.75">
      <c r="A197" s="279">
        <v>47</v>
      </c>
      <c r="B197" s="280" t="s">
        <v>60</v>
      </c>
      <c r="C197" s="299" t="s">
        <v>333</v>
      </c>
      <c r="D197" s="302">
        <v>36923.385416666664</v>
      </c>
      <c r="E197" s="304">
        <v>36938</v>
      </c>
      <c r="F197" s="299" t="s">
        <v>351</v>
      </c>
      <c r="G197" s="306" t="s">
        <v>297</v>
      </c>
      <c r="H197" s="299">
        <v>5</v>
      </c>
      <c r="I197" s="299">
        <v>5</v>
      </c>
      <c r="J197" s="299"/>
      <c r="K197" s="321" t="s">
        <v>477</v>
      </c>
    </row>
    <row r="198" spans="1:11" ht="12.75">
      <c r="A198" s="279">
        <v>65</v>
      </c>
      <c r="B198" s="280" t="s">
        <v>359</v>
      </c>
      <c r="C198" s="299" t="s">
        <v>333</v>
      </c>
      <c r="D198" s="302">
        <v>36923.385416666664</v>
      </c>
      <c r="E198" s="304">
        <v>36938</v>
      </c>
      <c r="F198" s="299" t="s">
        <v>351</v>
      </c>
      <c r="G198" s="306" t="s">
        <v>297</v>
      </c>
      <c r="H198" s="299">
        <v>5</v>
      </c>
      <c r="I198" s="299">
        <v>5</v>
      </c>
      <c r="J198" s="299"/>
      <c r="K198" s="321" t="s">
        <v>477</v>
      </c>
    </row>
    <row r="199" spans="1:11" ht="12.75">
      <c r="A199" s="279">
        <v>46</v>
      </c>
      <c r="B199" s="280" t="s">
        <v>59</v>
      </c>
      <c r="C199" s="299" t="s">
        <v>333</v>
      </c>
      <c r="D199" s="302">
        <v>36923.385416666664</v>
      </c>
      <c r="E199" s="304">
        <v>36938</v>
      </c>
      <c r="F199" s="299" t="s">
        <v>351</v>
      </c>
      <c r="G199" s="306" t="s">
        <v>297</v>
      </c>
      <c r="H199" s="299">
        <v>5</v>
      </c>
      <c r="I199" s="299">
        <v>5</v>
      </c>
      <c r="J199" s="299"/>
      <c r="K199" s="321" t="s">
        <v>477</v>
      </c>
    </row>
    <row r="200" spans="1:11" ht="12.75">
      <c r="A200" s="279"/>
      <c r="B200" s="280" t="s">
        <v>493</v>
      </c>
      <c r="C200" s="299" t="s">
        <v>333</v>
      </c>
      <c r="D200" s="302">
        <v>36923.385416666664</v>
      </c>
      <c r="E200" s="304">
        <v>36938</v>
      </c>
      <c r="F200" s="299" t="s">
        <v>351</v>
      </c>
      <c r="G200" s="306" t="s">
        <v>297</v>
      </c>
      <c r="H200" s="299">
        <v>10</v>
      </c>
      <c r="I200" s="299">
        <v>10</v>
      </c>
      <c r="J200" s="299"/>
      <c r="K200" s="321" t="s">
        <v>477</v>
      </c>
    </row>
    <row r="201" spans="1:11" ht="12.75">
      <c r="A201" s="279">
        <v>101</v>
      </c>
      <c r="B201" s="280" t="s">
        <v>114</v>
      </c>
      <c r="C201" s="299" t="s">
        <v>333</v>
      </c>
      <c r="D201" s="302">
        <v>36923.385416666664</v>
      </c>
      <c r="E201" s="304">
        <v>36938</v>
      </c>
      <c r="F201" s="299" t="s">
        <v>351</v>
      </c>
      <c r="G201" s="306" t="s">
        <v>297</v>
      </c>
      <c r="H201" s="299">
        <v>5</v>
      </c>
      <c r="I201" s="299">
        <v>5</v>
      </c>
      <c r="J201" s="299"/>
      <c r="K201" s="321" t="s">
        <v>477</v>
      </c>
    </row>
    <row r="202" spans="1:11" ht="12.75">
      <c r="A202" s="279">
        <v>94</v>
      </c>
      <c r="B202" s="280" t="s">
        <v>107</v>
      </c>
      <c r="C202" s="299" t="s">
        <v>333</v>
      </c>
      <c r="D202" s="302">
        <v>36923.385416666664</v>
      </c>
      <c r="E202" s="304">
        <v>36938</v>
      </c>
      <c r="F202" s="299" t="s">
        <v>351</v>
      </c>
      <c r="G202" s="306" t="s">
        <v>297</v>
      </c>
      <c r="H202" s="299">
        <v>5</v>
      </c>
      <c r="I202" s="299">
        <v>5</v>
      </c>
      <c r="J202" s="299"/>
      <c r="K202" s="321" t="s">
        <v>477</v>
      </c>
    </row>
    <row r="203" spans="1:11" ht="12.75">
      <c r="A203" s="279"/>
      <c r="B203" s="280" t="s">
        <v>489</v>
      </c>
      <c r="C203" s="299" t="s">
        <v>333</v>
      </c>
      <c r="D203" s="302">
        <v>36923.385416666664</v>
      </c>
      <c r="E203" s="304">
        <v>36938</v>
      </c>
      <c r="F203" s="299" t="s">
        <v>351</v>
      </c>
      <c r="G203" s="306" t="s">
        <v>297</v>
      </c>
      <c r="H203" s="299">
        <v>5</v>
      </c>
      <c r="I203" s="299">
        <v>5</v>
      </c>
      <c r="J203" s="299"/>
      <c r="K203" s="321" t="s">
        <v>477</v>
      </c>
    </row>
    <row r="204" spans="1:11" ht="12.75">
      <c r="A204" s="279">
        <v>89</v>
      </c>
      <c r="B204" s="280" t="s">
        <v>102</v>
      </c>
      <c r="C204" s="299" t="s">
        <v>333</v>
      </c>
      <c r="D204" s="302">
        <v>36923.385416666664</v>
      </c>
      <c r="E204" s="304">
        <v>36938</v>
      </c>
      <c r="F204" s="299" t="s">
        <v>351</v>
      </c>
      <c r="G204" s="306" t="s">
        <v>297</v>
      </c>
      <c r="H204" s="299">
        <v>5</v>
      </c>
      <c r="I204" s="299">
        <v>5</v>
      </c>
      <c r="J204" s="299"/>
      <c r="K204" s="321" t="s">
        <v>477</v>
      </c>
    </row>
    <row r="205" spans="1:11" ht="12.75">
      <c r="A205" s="279">
        <v>52</v>
      </c>
      <c r="B205" s="280" t="s">
        <v>353</v>
      </c>
      <c r="C205" s="299" t="s">
        <v>333</v>
      </c>
      <c r="D205" s="302">
        <v>36923.385416666664</v>
      </c>
      <c r="E205" s="304">
        <v>36938</v>
      </c>
      <c r="F205" s="299" t="s">
        <v>351</v>
      </c>
      <c r="G205" s="306" t="s">
        <v>297</v>
      </c>
      <c r="H205" s="299">
        <v>5</v>
      </c>
      <c r="I205" s="299">
        <v>5</v>
      </c>
      <c r="J205" s="299"/>
      <c r="K205" s="321" t="s">
        <v>477</v>
      </c>
    </row>
    <row r="206" spans="1:11" ht="12.75">
      <c r="A206" s="279"/>
      <c r="B206" s="280" t="s">
        <v>490</v>
      </c>
      <c r="C206" s="299" t="s">
        <v>333</v>
      </c>
      <c r="D206" s="302">
        <v>36923.385416666664</v>
      </c>
      <c r="E206" s="304">
        <v>36938</v>
      </c>
      <c r="F206" s="299" t="s">
        <v>351</v>
      </c>
      <c r="G206" s="306" t="s">
        <v>297</v>
      </c>
      <c r="H206" s="299">
        <v>5</v>
      </c>
      <c r="I206" s="299">
        <v>5</v>
      </c>
      <c r="J206" s="299"/>
      <c r="K206" s="321" t="s">
        <v>477</v>
      </c>
    </row>
    <row r="207" spans="1:11" ht="12.75">
      <c r="A207" s="279">
        <v>90</v>
      </c>
      <c r="B207" s="280" t="s">
        <v>103</v>
      </c>
      <c r="C207" s="299" t="s">
        <v>333</v>
      </c>
      <c r="D207" s="302">
        <v>36923.385416666664</v>
      </c>
      <c r="E207" s="304">
        <v>36938</v>
      </c>
      <c r="F207" s="299" t="s">
        <v>351</v>
      </c>
      <c r="G207" s="306" t="s">
        <v>297</v>
      </c>
      <c r="H207" s="299">
        <v>5</v>
      </c>
      <c r="I207" s="299">
        <v>5</v>
      </c>
      <c r="J207" s="299"/>
      <c r="K207" s="321" t="s">
        <v>477</v>
      </c>
    </row>
    <row r="208" spans="1:11" ht="12.75">
      <c r="A208" s="279">
        <v>55</v>
      </c>
      <c r="B208" s="280" t="s">
        <v>68</v>
      </c>
      <c r="C208" s="299" t="s">
        <v>333</v>
      </c>
      <c r="D208" s="302">
        <v>36923.385416666664</v>
      </c>
      <c r="E208" s="304">
        <v>36938</v>
      </c>
      <c r="F208" s="299" t="s">
        <v>351</v>
      </c>
      <c r="G208" s="306" t="s">
        <v>297</v>
      </c>
      <c r="H208" s="299">
        <v>5</v>
      </c>
      <c r="I208" s="299">
        <v>5</v>
      </c>
      <c r="J208" s="299"/>
      <c r="K208" s="321" t="s">
        <v>477</v>
      </c>
    </row>
    <row r="209" spans="1:11" ht="12.75">
      <c r="A209" s="279"/>
      <c r="B209" s="280" t="s">
        <v>491</v>
      </c>
      <c r="C209" s="299" t="s">
        <v>333</v>
      </c>
      <c r="D209" s="302">
        <v>36923.385416666664</v>
      </c>
      <c r="E209" s="304">
        <v>36938</v>
      </c>
      <c r="F209" s="299" t="s">
        <v>351</v>
      </c>
      <c r="G209" s="306" t="s">
        <v>297</v>
      </c>
      <c r="H209" s="299">
        <v>5</v>
      </c>
      <c r="I209" s="299">
        <v>5</v>
      </c>
      <c r="J209" s="299"/>
      <c r="K209" s="321" t="s">
        <v>477</v>
      </c>
    </row>
    <row r="210" spans="1:11" ht="12.75">
      <c r="A210" s="279">
        <v>71</v>
      </c>
      <c r="B210" s="280" t="s">
        <v>84</v>
      </c>
      <c r="C210" s="299" t="s">
        <v>333</v>
      </c>
      <c r="D210" s="302">
        <v>36923.385416666664</v>
      </c>
      <c r="E210" s="304">
        <v>36938</v>
      </c>
      <c r="F210" s="299" t="s">
        <v>351</v>
      </c>
      <c r="G210" s="306" t="s">
        <v>297</v>
      </c>
      <c r="H210" s="299">
        <v>5</v>
      </c>
      <c r="I210" s="299">
        <v>5</v>
      </c>
      <c r="J210" s="299"/>
      <c r="K210" s="321" t="s">
        <v>477</v>
      </c>
    </row>
    <row r="211" spans="1:11" ht="12.75">
      <c r="A211" s="279"/>
      <c r="B211" s="280" t="s">
        <v>492</v>
      </c>
      <c r="C211" s="299" t="s">
        <v>333</v>
      </c>
      <c r="D211" s="302">
        <v>36923.385416666664</v>
      </c>
      <c r="E211" s="304">
        <v>36938</v>
      </c>
      <c r="F211" s="299" t="s">
        <v>351</v>
      </c>
      <c r="G211" s="306" t="s">
        <v>297</v>
      </c>
      <c r="H211" s="299">
        <v>5</v>
      </c>
      <c r="I211" s="299">
        <v>5</v>
      </c>
      <c r="J211" s="299"/>
      <c r="K211" s="321" t="s">
        <v>477</v>
      </c>
    </row>
    <row r="212" spans="1:11" ht="12.75">
      <c r="A212" s="279">
        <v>57</v>
      </c>
      <c r="B212" s="280" t="s">
        <v>70</v>
      </c>
      <c r="C212" s="299" t="s">
        <v>333</v>
      </c>
      <c r="D212" s="302">
        <v>36923.385416666664</v>
      </c>
      <c r="E212" s="304">
        <v>36938</v>
      </c>
      <c r="F212" s="299" t="s">
        <v>351</v>
      </c>
      <c r="G212" s="306" t="s">
        <v>297</v>
      </c>
      <c r="H212" s="299">
        <v>5</v>
      </c>
      <c r="I212" s="299">
        <v>5</v>
      </c>
      <c r="J212" s="299"/>
      <c r="K212" s="321" t="s">
        <v>477</v>
      </c>
    </row>
    <row r="213" spans="1:11" ht="12.75">
      <c r="A213" s="279">
        <v>80</v>
      </c>
      <c r="B213" s="280" t="s">
        <v>369</v>
      </c>
      <c r="C213" s="299" t="s">
        <v>333</v>
      </c>
      <c r="D213" s="302">
        <v>36923.385416666664</v>
      </c>
      <c r="E213" s="304">
        <v>36938</v>
      </c>
      <c r="F213" s="299" t="s">
        <v>351</v>
      </c>
      <c r="G213" s="306" t="s">
        <v>297</v>
      </c>
      <c r="H213" s="299">
        <v>5</v>
      </c>
      <c r="I213" s="299">
        <v>5</v>
      </c>
      <c r="J213" s="299"/>
      <c r="K213" s="321" t="s">
        <v>477</v>
      </c>
    </row>
    <row r="214" spans="1:11" ht="12.75">
      <c r="A214" s="279">
        <v>83</v>
      </c>
      <c r="B214" s="280" t="s">
        <v>96</v>
      </c>
      <c r="C214" s="299" t="s">
        <v>333</v>
      </c>
      <c r="D214" s="302">
        <v>36923.385416666664</v>
      </c>
      <c r="E214" s="304">
        <v>36938</v>
      </c>
      <c r="F214" s="299" t="s">
        <v>351</v>
      </c>
      <c r="G214" s="306" t="s">
        <v>297</v>
      </c>
      <c r="H214" s="299">
        <v>5</v>
      </c>
      <c r="I214" s="299">
        <v>5</v>
      </c>
      <c r="J214" s="299"/>
      <c r="K214" s="321" t="s">
        <v>477</v>
      </c>
    </row>
    <row r="215" spans="1:11" ht="12.75">
      <c r="A215" s="279">
        <v>56</v>
      </c>
      <c r="B215" s="280" t="s">
        <v>69</v>
      </c>
      <c r="C215" s="299" t="s">
        <v>333</v>
      </c>
      <c r="D215" s="302">
        <v>36923.385416666664</v>
      </c>
      <c r="E215" s="304">
        <v>36938</v>
      </c>
      <c r="F215" s="299" t="s">
        <v>351</v>
      </c>
      <c r="G215" s="306" t="s">
        <v>297</v>
      </c>
      <c r="H215" s="299">
        <v>5</v>
      </c>
      <c r="I215" s="299">
        <v>5</v>
      </c>
      <c r="J215" s="299"/>
      <c r="K215" s="321" t="s">
        <v>477</v>
      </c>
    </row>
    <row r="216" spans="1:11" ht="12.75">
      <c r="A216" s="279"/>
      <c r="B216" s="280" t="s">
        <v>494</v>
      </c>
      <c r="C216" s="299" t="s">
        <v>333</v>
      </c>
      <c r="D216" s="302">
        <v>36923.385416666664</v>
      </c>
      <c r="E216" s="304">
        <v>36938</v>
      </c>
      <c r="F216" s="299" t="s">
        <v>351</v>
      </c>
      <c r="G216" s="306" t="s">
        <v>297</v>
      </c>
      <c r="H216" s="299">
        <v>5</v>
      </c>
      <c r="I216" s="299">
        <v>5</v>
      </c>
      <c r="J216" s="299"/>
      <c r="K216" s="321" t="s">
        <v>477</v>
      </c>
    </row>
    <row r="217" spans="1:11" ht="12.75">
      <c r="A217" s="279">
        <v>49</v>
      </c>
      <c r="B217" s="280" t="s">
        <v>62</v>
      </c>
      <c r="C217" s="299" t="s">
        <v>333</v>
      </c>
      <c r="D217" s="302">
        <v>36923.385416666664</v>
      </c>
      <c r="E217" s="304">
        <v>36938</v>
      </c>
      <c r="F217" s="299" t="s">
        <v>351</v>
      </c>
      <c r="G217" s="306" t="s">
        <v>297</v>
      </c>
      <c r="H217" s="299">
        <v>25</v>
      </c>
      <c r="I217" s="299">
        <v>25</v>
      </c>
      <c r="J217" s="299"/>
      <c r="K217" s="321" t="s">
        <v>477</v>
      </c>
    </row>
    <row r="218" spans="1:11" ht="12.75">
      <c r="A218" s="279"/>
      <c r="B218" s="280" t="s">
        <v>495</v>
      </c>
      <c r="C218" s="299" t="s">
        <v>333</v>
      </c>
      <c r="D218" s="302">
        <v>36923.385416666664</v>
      </c>
      <c r="E218" s="304">
        <v>36938</v>
      </c>
      <c r="F218" s="299" t="s">
        <v>351</v>
      </c>
      <c r="G218" s="306" t="s">
        <v>297</v>
      </c>
      <c r="H218" s="299">
        <v>5</v>
      </c>
      <c r="I218" s="299">
        <v>5</v>
      </c>
      <c r="J218" s="299"/>
      <c r="K218" s="321" t="s">
        <v>477</v>
      </c>
    </row>
    <row r="219" spans="1:11" ht="12.75">
      <c r="A219" s="279">
        <v>51</v>
      </c>
      <c r="B219" s="280" t="s">
        <v>64</v>
      </c>
      <c r="C219" s="299" t="s">
        <v>333</v>
      </c>
      <c r="D219" s="302">
        <v>36923.385416666664</v>
      </c>
      <c r="E219" s="304">
        <v>36938</v>
      </c>
      <c r="F219" s="299" t="s">
        <v>351</v>
      </c>
      <c r="G219" s="306" t="s">
        <v>297</v>
      </c>
      <c r="H219" s="299">
        <v>5</v>
      </c>
      <c r="I219" s="299">
        <v>5</v>
      </c>
      <c r="J219" s="299"/>
      <c r="K219" s="321" t="s">
        <v>477</v>
      </c>
    </row>
    <row r="220" spans="1:11" ht="12.75">
      <c r="A220" s="279">
        <v>82</v>
      </c>
      <c r="B220" s="280" t="s">
        <v>95</v>
      </c>
      <c r="C220" s="299" t="s">
        <v>333</v>
      </c>
      <c r="D220" s="302">
        <v>36923.385416666664</v>
      </c>
      <c r="E220" s="304">
        <v>36938</v>
      </c>
      <c r="F220" s="299" t="s">
        <v>351</v>
      </c>
      <c r="G220" s="306" t="s">
        <v>297</v>
      </c>
      <c r="H220" s="299">
        <v>5</v>
      </c>
      <c r="I220" s="299">
        <v>5</v>
      </c>
      <c r="J220" s="299"/>
      <c r="K220" s="321" t="s">
        <v>477</v>
      </c>
    </row>
    <row r="221" spans="1:11" ht="12.75">
      <c r="A221" s="279">
        <v>59</v>
      </c>
      <c r="B221" s="280" t="s">
        <v>72</v>
      </c>
      <c r="C221" s="299" t="s">
        <v>333</v>
      </c>
      <c r="D221" s="302">
        <v>36923.385416666664</v>
      </c>
      <c r="E221" s="304">
        <v>36938</v>
      </c>
      <c r="F221" s="299" t="s">
        <v>351</v>
      </c>
      <c r="G221" s="306" t="s">
        <v>297</v>
      </c>
      <c r="H221" s="299">
        <v>50</v>
      </c>
      <c r="I221" s="299">
        <v>50</v>
      </c>
      <c r="J221" s="299"/>
      <c r="K221" s="321" t="s">
        <v>477</v>
      </c>
    </row>
    <row r="222" spans="1:11" ht="12.75">
      <c r="A222" s="279">
        <v>87</v>
      </c>
      <c r="B222" s="280" t="s">
        <v>100</v>
      </c>
      <c r="C222" s="299" t="s">
        <v>333</v>
      </c>
      <c r="D222" s="302">
        <v>36923.385416666664</v>
      </c>
      <c r="E222" s="304">
        <v>36938</v>
      </c>
      <c r="F222" s="299" t="s">
        <v>351</v>
      </c>
      <c r="G222" s="306" t="s">
        <v>297</v>
      </c>
      <c r="H222" s="299">
        <v>5</v>
      </c>
      <c r="I222" s="299">
        <v>5</v>
      </c>
      <c r="J222" s="299"/>
      <c r="K222" s="321" t="s">
        <v>477</v>
      </c>
    </row>
    <row r="223" spans="1:11" ht="12.75">
      <c r="A223" s="279">
        <v>72</v>
      </c>
      <c r="B223" s="280" t="s">
        <v>365</v>
      </c>
      <c r="C223" s="299" t="s">
        <v>333</v>
      </c>
      <c r="D223" s="302">
        <v>36923.385416666664</v>
      </c>
      <c r="E223" s="304">
        <v>36938</v>
      </c>
      <c r="F223" s="299" t="s">
        <v>351</v>
      </c>
      <c r="G223" s="306" t="s">
        <v>297</v>
      </c>
      <c r="H223" s="299">
        <v>5</v>
      </c>
      <c r="I223" s="299">
        <v>5</v>
      </c>
      <c r="J223" s="299"/>
      <c r="K223" s="321" t="s">
        <v>477</v>
      </c>
    </row>
    <row r="224" spans="1:11" ht="12.75">
      <c r="A224" s="279">
        <v>79</v>
      </c>
      <c r="B224" s="280" t="s">
        <v>368</v>
      </c>
      <c r="C224" s="299" t="s">
        <v>333</v>
      </c>
      <c r="D224" s="302">
        <v>36923.385416666664</v>
      </c>
      <c r="E224" s="304">
        <v>36938</v>
      </c>
      <c r="F224" s="299" t="s">
        <v>351</v>
      </c>
      <c r="G224" s="306" t="s">
        <v>297</v>
      </c>
      <c r="H224" s="299">
        <v>5</v>
      </c>
      <c r="I224" s="299">
        <v>5</v>
      </c>
      <c r="J224" s="299"/>
      <c r="K224" s="321" t="s">
        <v>477</v>
      </c>
    </row>
    <row r="225" spans="1:11" ht="12.75">
      <c r="A225" s="279"/>
      <c r="B225" s="280" t="s">
        <v>496</v>
      </c>
      <c r="C225" s="299" t="s">
        <v>333</v>
      </c>
      <c r="D225" s="302">
        <v>36923.385416666664</v>
      </c>
      <c r="E225" s="304">
        <v>36938</v>
      </c>
      <c r="F225" s="299" t="s">
        <v>351</v>
      </c>
      <c r="G225" s="306" t="s">
        <v>297</v>
      </c>
      <c r="H225" s="299">
        <v>5</v>
      </c>
      <c r="I225" s="299">
        <v>5</v>
      </c>
      <c r="J225" s="299"/>
      <c r="K225" s="321" t="s">
        <v>477</v>
      </c>
    </row>
    <row r="226" spans="1:11" ht="12.75">
      <c r="A226" s="279">
        <v>48</v>
      </c>
      <c r="B226" s="280" t="s">
        <v>352</v>
      </c>
      <c r="C226" s="299" t="s">
        <v>333</v>
      </c>
      <c r="D226" s="302">
        <v>36923.385416666664</v>
      </c>
      <c r="E226" s="304">
        <v>36938</v>
      </c>
      <c r="F226" s="299" t="s">
        <v>351</v>
      </c>
      <c r="G226" s="306" t="s">
        <v>297</v>
      </c>
      <c r="H226" s="299">
        <v>5</v>
      </c>
      <c r="I226" s="299">
        <v>5</v>
      </c>
      <c r="J226" s="299"/>
      <c r="K226" s="321" t="s">
        <v>477</v>
      </c>
    </row>
    <row r="227" spans="1:11" ht="12.75">
      <c r="A227" s="279">
        <v>98</v>
      </c>
      <c r="B227" s="280" t="s">
        <v>111</v>
      </c>
      <c r="C227" s="299" t="s">
        <v>333</v>
      </c>
      <c r="D227" s="302">
        <v>36923.385416666664</v>
      </c>
      <c r="E227" s="304">
        <v>36938</v>
      </c>
      <c r="F227" s="299" t="s">
        <v>351</v>
      </c>
      <c r="G227" s="306" t="s">
        <v>297</v>
      </c>
      <c r="H227" s="299">
        <v>5</v>
      </c>
      <c r="I227" s="299">
        <v>5</v>
      </c>
      <c r="J227" s="299"/>
      <c r="K227" s="321" t="s">
        <v>477</v>
      </c>
    </row>
    <row r="228" spans="1:11" ht="12.75">
      <c r="A228" s="279"/>
      <c r="B228" s="280" t="s">
        <v>497</v>
      </c>
      <c r="C228" s="299" t="s">
        <v>333</v>
      </c>
      <c r="D228" s="302">
        <v>36923.385416666664</v>
      </c>
      <c r="E228" s="304">
        <v>36938</v>
      </c>
      <c r="F228" s="299" t="s">
        <v>351</v>
      </c>
      <c r="G228" s="306" t="s">
        <v>297</v>
      </c>
      <c r="H228" s="299">
        <v>5</v>
      </c>
      <c r="I228" s="299">
        <v>5</v>
      </c>
      <c r="J228" s="299"/>
      <c r="K228" s="321" t="s">
        <v>477</v>
      </c>
    </row>
    <row r="229" spans="1:11" ht="12.75">
      <c r="A229" s="279">
        <v>69</v>
      </c>
      <c r="B229" s="280" t="s">
        <v>363</v>
      </c>
      <c r="C229" s="299" t="s">
        <v>333</v>
      </c>
      <c r="D229" s="302">
        <v>36923.385416666664</v>
      </c>
      <c r="E229" s="304">
        <v>36938</v>
      </c>
      <c r="F229" s="299" t="s">
        <v>351</v>
      </c>
      <c r="G229" s="306" t="s">
        <v>297</v>
      </c>
      <c r="H229" s="299">
        <v>5</v>
      </c>
      <c r="I229" s="299">
        <v>5</v>
      </c>
      <c r="J229" s="299"/>
      <c r="K229" s="321" t="s">
        <v>477</v>
      </c>
    </row>
    <row r="230" spans="1:11" ht="12.75">
      <c r="A230" s="279">
        <v>88</v>
      </c>
      <c r="B230" s="280" t="s">
        <v>101</v>
      </c>
      <c r="C230" s="299" t="s">
        <v>333</v>
      </c>
      <c r="D230" s="302">
        <v>36923.385416666664</v>
      </c>
      <c r="E230" s="304">
        <v>36938</v>
      </c>
      <c r="F230" s="299" t="s">
        <v>351</v>
      </c>
      <c r="G230" s="306" t="s">
        <v>297</v>
      </c>
      <c r="H230" s="299">
        <v>5</v>
      </c>
      <c r="I230" s="299">
        <v>5</v>
      </c>
      <c r="J230" s="299"/>
      <c r="K230" s="321" t="s">
        <v>477</v>
      </c>
    </row>
    <row r="231" spans="1:11" ht="12.75">
      <c r="A231" s="279"/>
      <c r="B231" s="280" t="s">
        <v>66</v>
      </c>
      <c r="C231" s="299" t="s">
        <v>333</v>
      </c>
      <c r="D231" s="302">
        <v>36923.385416666664</v>
      </c>
      <c r="E231" s="304">
        <v>36938</v>
      </c>
      <c r="F231" s="299" t="s">
        <v>351</v>
      </c>
      <c r="G231" s="306" t="s">
        <v>297</v>
      </c>
      <c r="H231" s="299">
        <v>5</v>
      </c>
      <c r="I231" s="299">
        <v>5</v>
      </c>
      <c r="J231" s="299"/>
      <c r="K231" s="321" t="s">
        <v>477</v>
      </c>
    </row>
    <row r="232" spans="1:11" ht="12.75">
      <c r="A232" s="279">
        <v>99</v>
      </c>
      <c r="B232" s="280" t="s">
        <v>112</v>
      </c>
      <c r="C232" s="299" t="s">
        <v>333</v>
      </c>
      <c r="D232" s="302">
        <v>36923.385416666664</v>
      </c>
      <c r="E232" s="304">
        <v>36938</v>
      </c>
      <c r="F232" s="299" t="s">
        <v>351</v>
      </c>
      <c r="G232" s="306" t="s">
        <v>297</v>
      </c>
      <c r="H232" s="299">
        <v>5</v>
      </c>
      <c r="I232" s="299">
        <v>5</v>
      </c>
      <c r="J232" s="299"/>
      <c r="K232" s="321" t="s">
        <v>477</v>
      </c>
    </row>
    <row r="233" spans="1:11" ht="12.75">
      <c r="A233" s="279">
        <v>58</v>
      </c>
      <c r="B233" s="280" t="s">
        <v>71</v>
      </c>
      <c r="C233" s="299" t="s">
        <v>333</v>
      </c>
      <c r="D233" s="302">
        <v>36923.385416666664</v>
      </c>
      <c r="E233" s="304">
        <v>36938</v>
      </c>
      <c r="F233" s="299" t="s">
        <v>351</v>
      </c>
      <c r="G233" s="306" t="s">
        <v>297</v>
      </c>
      <c r="H233" s="299">
        <v>5</v>
      </c>
      <c r="I233" s="299">
        <v>5</v>
      </c>
      <c r="J233" s="299"/>
      <c r="K233" s="321" t="s">
        <v>477</v>
      </c>
    </row>
    <row r="234" spans="1:11" ht="12.75">
      <c r="A234" s="279">
        <v>81</v>
      </c>
      <c r="B234" s="280" t="s">
        <v>370</v>
      </c>
      <c r="C234" s="299" t="s">
        <v>333</v>
      </c>
      <c r="D234" s="302">
        <v>36923.385416666664</v>
      </c>
      <c r="E234" s="304">
        <v>36938</v>
      </c>
      <c r="F234" s="299" t="s">
        <v>351</v>
      </c>
      <c r="G234" s="306" t="s">
        <v>297</v>
      </c>
      <c r="H234" s="299">
        <v>5</v>
      </c>
      <c r="I234" s="299">
        <v>5</v>
      </c>
      <c r="J234" s="299"/>
      <c r="K234" s="321" t="s">
        <v>477</v>
      </c>
    </row>
    <row r="235" spans="1:11" ht="12.75">
      <c r="A235" s="279">
        <v>86</v>
      </c>
      <c r="B235" s="280" t="s">
        <v>99</v>
      </c>
      <c r="C235" s="299" t="s">
        <v>333</v>
      </c>
      <c r="D235" s="302">
        <v>36923.385416666664</v>
      </c>
      <c r="E235" s="304">
        <v>36938</v>
      </c>
      <c r="F235" s="299" t="s">
        <v>351</v>
      </c>
      <c r="G235" s="306" t="s">
        <v>297</v>
      </c>
      <c r="H235" s="299">
        <v>5</v>
      </c>
      <c r="I235" s="299">
        <v>5</v>
      </c>
      <c r="J235" s="299"/>
      <c r="K235" s="321" t="s">
        <v>477</v>
      </c>
    </row>
    <row r="236" spans="1:11" ht="12.75">
      <c r="A236" s="279">
        <v>100</v>
      </c>
      <c r="B236" s="280" t="s">
        <v>113</v>
      </c>
      <c r="C236" s="299" t="s">
        <v>333</v>
      </c>
      <c r="D236" s="302">
        <v>36923.385416666664</v>
      </c>
      <c r="E236" s="304">
        <v>36938</v>
      </c>
      <c r="F236" s="299" t="s">
        <v>351</v>
      </c>
      <c r="G236" s="306" t="s">
        <v>297</v>
      </c>
      <c r="H236" s="299">
        <v>5</v>
      </c>
      <c r="I236" s="299">
        <v>5</v>
      </c>
      <c r="J236" s="299"/>
      <c r="K236" s="321" t="s">
        <v>477</v>
      </c>
    </row>
    <row r="237" spans="1:11" ht="12.75">
      <c r="A237" s="279">
        <v>70</v>
      </c>
      <c r="B237" s="280" t="s">
        <v>364</v>
      </c>
      <c r="C237" s="299" t="s">
        <v>333</v>
      </c>
      <c r="D237" s="302">
        <v>36923.385416666664</v>
      </c>
      <c r="E237" s="304">
        <v>36938</v>
      </c>
      <c r="F237" s="299" t="s">
        <v>351</v>
      </c>
      <c r="G237" s="306" t="s">
        <v>297</v>
      </c>
      <c r="H237" s="299">
        <v>5</v>
      </c>
      <c r="I237" s="299">
        <v>5</v>
      </c>
      <c r="J237" s="299"/>
      <c r="K237" s="321" t="s">
        <v>477</v>
      </c>
    </row>
    <row r="238" spans="1:11" ht="12.75">
      <c r="A238" s="279"/>
      <c r="B238" s="280" t="s">
        <v>219</v>
      </c>
      <c r="C238" s="299" t="s">
        <v>333</v>
      </c>
      <c r="D238" s="302">
        <v>36923.385416666664</v>
      </c>
      <c r="E238" s="304">
        <v>36938</v>
      </c>
      <c r="F238" s="299" t="s">
        <v>351</v>
      </c>
      <c r="G238" s="306" t="s">
        <v>297</v>
      </c>
      <c r="H238" s="299">
        <v>25</v>
      </c>
      <c r="I238" s="299">
        <v>25</v>
      </c>
      <c r="J238" s="299"/>
      <c r="K238" s="321" t="s">
        <v>477</v>
      </c>
    </row>
    <row r="239" spans="1:11" ht="12.75">
      <c r="A239" s="279">
        <v>60</v>
      </c>
      <c r="B239" s="280" t="s">
        <v>354</v>
      </c>
      <c r="C239" s="299" t="s">
        <v>333</v>
      </c>
      <c r="D239" s="302">
        <v>36923.385416666664</v>
      </c>
      <c r="E239" s="304">
        <v>36938</v>
      </c>
      <c r="F239" s="299" t="s">
        <v>351</v>
      </c>
      <c r="G239" s="306" t="s">
        <v>297</v>
      </c>
      <c r="H239" s="299">
        <v>5</v>
      </c>
      <c r="I239" s="299">
        <v>5</v>
      </c>
      <c r="J239" s="299"/>
      <c r="K239" s="321" t="s">
        <v>477</v>
      </c>
    </row>
    <row r="240" spans="1:11" ht="12.75">
      <c r="A240" s="279">
        <v>73</v>
      </c>
      <c r="B240" s="280" t="s">
        <v>86</v>
      </c>
      <c r="C240" s="299" t="s">
        <v>333</v>
      </c>
      <c r="D240" s="302">
        <v>36923.385416666664</v>
      </c>
      <c r="E240" s="304">
        <v>36938</v>
      </c>
      <c r="F240" s="299" t="s">
        <v>351</v>
      </c>
      <c r="G240" s="306" t="s">
        <v>297</v>
      </c>
      <c r="H240" s="299">
        <v>5</v>
      </c>
      <c r="I240" s="299">
        <v>5</v>
      </c>
      <c r="J240" s="299"/>
      <c r="K240" s="321" t="s">
        <v>477</v>
      </c>
    </row>
    <row r="241" spans="1:11" ht="12.75">
      <c r="A241" s="279">
        <v>68</v>
      </c>
      <c r="B241" s="280" t="s">
        <v>362</v>
      </c>
      <c r="C241" s="299" t="s">
        <v>333</v>
      </c>
      <c r="D241" s="302">
        <v>36923.385416666664</v>
      </c>
      <c r="E241" s="304">
        <v>36938</v>
      </c>
      <c r="F241" s="299" t="s">
        <v>351</v>
      </c>
      <c r="G241" s="306" t="s">
        <v>297</v>
      </c>
      <c r="H241" s="299">
        <v>5</v>
      </c>
      <c r="I241" s="299">
        <v>5</v>
      </c>
      <c r="J241" s="299"/>
      <c r="K241" s="321" t="s">
        <v>477</v>
      </c>
    </row>
    <row r="242" spans="1:11" ht="12.75">
      <c r="A242" s="279">
        <v>84</v>
      </c>
      <c r="B242" s="280" t="s">
        <v>371</v>
      </c>
      <c r="C242" s="299" t="s">
        <v>333</v>
      </c>
      <c r="D242" s="302">
        <v>36923.385416666664</v>
      </c>
      <c r="E242" s="304">
        <v>36938</v>
      </c>
      <c r="F242" s="299" t="s">
        <v>351</v>
      </c>
      <c r="G242" s="306" t="s">
        <v>297</v>
      </c>
      <c r="H242" s="299">
        <v>5</v>
      </c>
      <c r="I242" s="299">
        <v>5</v>
      </c>
      <c r="J242" s="299"/>
      <c r="K242" s="321" t="s">
        <v>477</v>
      </c>
    </row>
    <row r="243" spans="1:11" ht="12.75">
      <c r="A243" s="279"/>
      <c r="B243" s="280" t="s">
        <v>498</v>
      </c>
      <c r="C243" s="299" t="s">
        <v>333</v>
      </c>
      <c r="D243" s="302">
        <v>36923.385416666664</v>
      </c>
      <c r="E243" s="304">
        <v>36938</v>
      </c>
      <c r="F243" s="299" t="s">
        <v>351</v>
      </c>
      <c r="G243" s="306" t="s">
        <v>297</v>
      </c>
      <c r="H243" s="299">
        <v>5</v>
      </c>
      <c r="I243" s="299">
        <v>5</v>
      </c>
      <c r="J243" s="299"/>
      <c r="K243" s="321" t="s">
        <v>477</v>
      </c>
    </row>
    <row r="244" spans="1:11" ht="12.75">
      <c r="A244" s="279"/>
      <c r="B244" s="280" t="s">
        <v>499</v>
      </c>
      <c r="C244" s="299" t="s">
        <v>333</v>
      </c>
      <c r="D244" s="302">
        <v>36923.385416666664</v>
      </c>
      <c r="E244" s="304">
        <v>36938</v>
      </c>
      <c r="F244" s="299" t="s">
        <v>351</v>
      </c>
      <c r="G244" s="306" t="s">
        <v>297</v>
      </c>
      <c r="H244" s="299">
        <v>5</v>
      </c>
      <c r="I244" s="299">
        <v>5</v>
      </c>
      <c r="J244" s="299"/>
      <c r="K244" s="321" t="s">
        <v>477</v>
      </c>
    </row>
    <row r="245" spans="1:11" ht="12.75">
      <c r="A245" s="279"/>
      <c r="B245" s="280" t="s">
        <v>500</v>
      </c>
      <c r="C245" s="299" t="s">
        <v>333</v>
      </c>
      <c r="D245" s="302">
        <v>36923.385416666664</v>
      </c>
      <c r="E245" s="304">
        <v>36938</v>
      </c>
      <c r="F245" s="299" t="s">
        <v>351</v>
      </c>
      <c r="G245" s="306" t="s">
        <v>297</v>
      </c>
      <c r="H245" s="299">
        <v>5</v>
      </c>
      <c r="I245" s="299">
        <v>5</v>
      </c>
      <c r="J245" s="299"/>
      <c r="K245" s="321" t="s">
        <v>477</v>
      </c>
    </row>
    <row r="246" spans="1:11" ht="12.75">
      <c r="A246" s="279">
        <v>92</v>
      </c>
      <c r="B246" s="280" t="s">
        <v>372</v>
      </c>
      <c r="C246" s="299" t="s">
        <v>333</v>
      </c>
      <c r="D246" s="302">
        <v>36923.385416666664</v>
      </c>
      <c r="E246" s="304">
        <v>36938</v>
      </c>
      <c r="F246" s="299" t="s">
        <v>351</v>
      </c>
      <c r="G246" s="306" t="s">
        <v>297</v>
      </c>
      <c r="H246" s="299">
        <v>5</v>
      </c>
      <c r="I246" s="299">
        <v>5</v>
      </c>
      <c r="J246" s="299"/>
      <c r="K246" s="321" t="s">
        <v>477</v>
      </c>
    </row>
    <row r="247" spans="1:11" ht="12.75">
      <c r="A247" s="279">
        <v>74</v>
      </c>
      <c r="B247" s="280" t="s">
        <v>501</v>
      </c>
      <c r="C247" s="299" t="s">
        <v>333</v>
      </c>
      <c r="D247" s="302">
        <v>36923.385416666664</v>
      </c>
      <c r="E247" s="304">
        <v>36938</v>
      </c>
      <c r="F247" s="299" t="s">
        <v>351</v>
      </c>
      <c r="G247" s="306" t="s">
        <v>297</v>
      </c>
      <c r="H247" s="299">
        <v>5</v>
      </c>
      <c r="I247" s="299">
        <v>5</v>
      </c>
      <c r="J247" s="299"/>
      <c r="K247" s="321" t="s">
        <v>477</v>
      </c>
    </row>
    <row r="248" spans="1:11" ht="12.75">
      <c r="A248" s="279">
        <v>63</v>
      </c>
      <c r="B248" s="280" t="s">
        <v>357</v>
      </c>
      <c r="C248" s="299" t="s">
        <v>333</v>
      </c>
      <c r="D248" s="302">
        <v>36923.385416666664</v>
      </c>
      <c r="E248" s="304">
        <v>36938</v>
      </c>
      <c r="F248" s="299" t="s">
        <v>351</v>
      </c>
      <c r="G248" s="306" t="s">
        <v>297</v>
      </c>
      <c r="H248" s="299">
        <v>5</v>
      </c>
      <c r="I248" s="299">
        <v>5</v>
      </c>
      <c r="J248" s="299"/>
      <c r="K248" s="321" t="s">
        <v>477</v>
      </c>
    </row>
    <row r="249" spans="1:11" ht="12.75">
      <c r="A249" s="279"/>
      <c r="B249" s="280" t="s">
        <v>502</v>
      </c>
      <c r="C249" s="299" t="s">
        <v>333</v>
      </c>
      <c r="D249" s="302">
        <v>36923.385416666664</v>
      </c>
      <c r="E249" s="304">
        <v>36938</v>
      </c>
      <c r="F249" s="299" t="s">
        <v>351</v>
      </c>
      <c r="G249" s="306" t="s">
        <v>297</v>
      </c>
      <c r="H249" s="299">
        <v>5</v>
      </c>
      <c r="I249" s="299">
        <v>5</v>
      </c>
      <c r="J249" s="299"/>
      <c r="K249" s="321" t="s">
        <v>477</v>
      </c>
    </row>
    <row r="250" spans="1:11" ht="12.75">
      <c r="A250" s="279">
        <v>45</v>
      </c>
      <c r="B250" s="280" t="s">
        <v>58</v>
      </c>
      <c r="C250" s="299" t="s">
        <v>333</v>
      </c>
      <c r="D250" s="302">
        <v>36923.385416666664</v>
      </c>
      <c r="E250" s="304">
        <v>36938</v>
      </c>
      <c r="F250" s="299" t="s">
        <v>351</v>
      </c>
      <c r="G250" s="306" t="s">
        <v>297</v>
      </c>
      <c r="H250" s="299">
        <v>5</v>
      </c>
      <c r="I250" s="299">
        <v>5</v>
      </c>
      <c r="J250" s="299"/>
      <c r="K250" s="321" t="s">
        <v>477</v>
      </c>
    </row>
    <row r="251" spans="1:11" ht="12.75">
      <c r="A251" s="279"/>
      <c r="B251" s="280" t="s">
        <v>503</v>
      </c>
      <c r="C251" s="299" t="s">
        <v>333</v>
      </c>
      <c r="D251" s="302">
        <v>36923.385416666664</v>
      </c>
      <c r="E251" s="304">
        <v>36938</v>
      </c>
      <c r="F251" s="299" t="s">
        <v>351</v>
      </c>
      <c r="G251" s="306" t="s">
        <v>297</v>
      </c>
      <c r="H251" s="299">
        <v>5</v>
      </c>
      <c r="I251" s="299">
        <v>5</v>
      </c>
      <c r="J251" s="299"/>
      <c r="K251" s="321" t="s">
        <v>477</v>
      </c>
    </row>
    <row r="252" spans="1:11" ht="12.75">
      <c r="A252" s="279"/>
      <c r="B252" s="280" t="s">
        <v>504</v>
      </c>
      <c r="C252" s="299" t="s">
        <v>333</v>
      </c>
      <c r="D252" s="302">
        <v>36923.385416666664</v>
      </c>
      <c r="E252" s="304">
        <v>36938</v>
      </c>
      <c r="F252" s="299" t="s">
        <v>351</v>
      </c>
      <c r="G252" s="306" t="s">
        <v>297</v>
      </c>
      <c r="H252" s="299">
        <v>5</v>
      </c>
      <c r="I252" s="299">
        <v>5</v>
      </c>
      <c r="J252" s="299"/>
      <c r="K252" s="321" t="s">
        <v>477</v>
      </c>
    </row>
    <row r="253" spans="1:11" ht="12.75">
      <c r="A253" s="279">
        <v>41</v>
      </c>
      <c r="B253" s="280" t="s">
        <v>54</v>
      </c>
      <c r="C253" s="299" t="s">
        <v>333</v>
      </c>
      <c r="D253" s="302">
        <v>36923.385416666664</v>
      </c>
      <c r="E253" s="304">
        <v>36938</v>
      </c>
      <c r="F253" s="299" t="s">
        <v>351</v>
      </c>
      <c r="G253" s="306" t="s">
        <v>297</v>
      </c>
      <c r="H253" s="299">
        <v>5</v>
      </c>
      <c r="I253" s="299">
        <v>5</v>
      </c>
      <c r="J253" s="299"/>
      <c r="K253" s="321" t="s">
        <v>477</v>
      </c>
    </row>
    <row r="254" spans="1:11" ht="12.75">
      <c r="A254" s="279">
        <v>37</v>
      </c>
      <c r="B254" s="280" t="s">
        <v>50</v>
      </c>
      <c r="C254" s="299" t="s">
        <v>333</v>
      </c>
      <c r="D254" s="302">
        <v>36923.385416666664</v>
      </c>
      <c r="E254" s="304">
        <v>36938</v>
      </c>
      <c r="F254" s="299" t="s">
        <v>351</v>
      </c>
      <c r="G254" s="306" t="s">
        <v>297</v>
      </c>
      <c r="H254" s="299">
        <v>5</v>
      </c>
      <c r="I254" s="299">
        <v>5</v>
      </c>
      <c r="J254" s="299"/>
      <c r="K254" s="321" t="s">
        <v>477</v>
      </c>
    </row>
    <row r="255" spans="1:11" ht="12.75">
      <c r="A255" s="279">
        <v>42</v>
      </c>
      <c r="B255" s="280" t="s">
        <v>55</v>
      </c>
      <c r="C255" s="299" t="s">
        <v>333</v>
      </c>
      <c r="D255" s="302">
        <v>36923.385416666664</v>
      </c>
      <c r="E255" s="304">
        <v>36938</v>
      </c>
      <c r="F255" s="299" t="s">
        <v>351</v>
      </c>
      <c r="G255" s="306" t="s">
        <v>297</v>
      </c>
      <c r="H255" s="299">
        <v>5</v>
      </c>
      <c r="I255" s="299">
        <v>5</v>
      </c>
      <c r="J255" s="299"/>
      <c r="K255" s="321" t="s">
        <v>477</v>
      </c>
    </row>
    <row r="256" spans="1:11" ht="12.75">
      <c r="A256" s="279">
        <v>28</v>
      </c>
      <c r="B256" s="280" t="s">
        <v>41</v>
      </c>
      <c r="C256" s="299" t="s">
        <v>333</v>
      </c>
      <c r="D256" s="302">
        <v>36923.385416666664</v>
      </c>
      <c r="E256" s="304">
        <v>36938</v>
      </c>
      <c r="F256" s="299" t="s">
        <v>351</v>
      </c>
      <c r="G256" s="306" t="s">
        <v>297</v>
      </c>
      <c r="H256" s="299">
        <v>5</v>
      </c>
      <c r="I256" s="299">
        <v>5</v>
      </c>
      <c r="J256" s="299"/>
      <c r="K256" s="321" t="s">
        <v>477</v>
      </c>
    </row>
    <row r="257" spans="1:11" ht="12.75">
      <c r="A257" s="279">
        <v>30</v>
      </c>
      <c r="B257" s="280" t="s">
        <v>342</v>
      </c>
      <c r="C257" s="299" t="s">
        <v>333</v>
      </c>
      <c r="D257" s="302">
        <v>36923.385416666664</v>
      </c>
      <c r="E257" s="304">
        <v>36938</v>
      </c>
      <c r="F257" s="299" t="s">
        <v>351</v>
      </c>
      <c r="G257" s="306" t="s">
        <v>297</v>
      </c>
      <c r="H257" s="299">
        <v>5</v>
      </c>
      <c r="I257" s="299">
        <v>5</v>
      </c>
      <c r="J257" s="299"/>
      <c r="K257" s="321" t="s">
        <v>477</v>
      </c>
    </row>
    <row r="258" spans="1:11" ht="12.75">
      <c r="A258" s="279"/>
      <c r="B258" s="280" t="s">
        <v>505</v>
      </c>
      <c r="C258" s="299" t="s">
        <v>333</v>
      </c>
      <c r="D258" s="302">
        <v>36923.385416666664</v>
      </c>
      <c r="E258" s="304">
        <v>36938</v>
      </c>
      <c r="F258" s="299" t="s">
        <v>351</v>
      </c>
      <c r="G258" s="306" t="s">
        <v>297</v>
      </c>
      <c r="H258" s="299">
        <v>5</v>
      </c>
      <c r="I258" s="299">
        <v>5</v>
      </c>
      <c r="J258" s="299"/>
      <c r="K258" s="321" t="s">
        <v>477</v>
      </c>
    </row>
    <row r="259" spans="1:11" ht="12.75">
      <c r="A259" s="279"/>
      <c r="B259" s="280" t="s">
        <v>506</v>
      </c>
      <c r="C259" s="299" t="s">
        <v>333</v>
      </c>
      <c r="D259" s="302">
        <v>36923.385416666664</v>
      </c>
      <c r="E259" s="304">
        <v>36938</v>
      </c>
      <c r="F259" s="299" t="s">
        <v>351</v>
      </c>
      <c r="G259" s="306" t="s">
        <v>297</v>
      </c>
      <c r="H259" s="299">
        <v>5</v>
      </c>
      <c r="I259" s="299">
        <v>5</v>
      </c>
      <c r="J259" s="299"/>
      <c r="K259" s="321" t="s">
        <v>477</v>
      </c>
    </row>
    <row r="260" spans="1:11" ht="12.75">
      <c r="A260" s="279"/>
      <c r="B260" s="280" t="s">
        <v>507</v>
      </c>
      <c r="C260" s="299" t="s">
        <v>333</v>
      </c>
      <c r="D260" s="302">
        <v>36923.385416666664</v>
      </c>
      <c r="E260" s="304">
        <v>36938</v>
      </c>
      <c r="F260" s="299" t="s">
        <v>351</v>
      </c>
      <c r="G260" s="306" t="s">
        <v>297</v>
      </c>
      <c r="H260" s="299">
        <v>5</v>
      </c>
      <c r="I260" s="299">
        <v>5</v>
      </c>
      <c r="J260" s="299"/>
      <c r="K260" s="321" t="s">
        <v>477</v>
      </c>
    </row>
    <row r="261" spans="1:11" ht="12.75">
      <c r="A261" s="279">
        <v>101</v>
      </c>
      <c r="B261" s="280" t="s">
        <v>114</v>
      </c>
      <c r="C261" s="299" t="s">
        <v>333</v>
      </c>
      <c r="D261" s="302">
        <v>36923.385416666664</v>
      </c>
      <c r="E261" s="304">
        <v>36938</v>
      </c>
      <c r="F261" s="299" t="s">
        <v>351</v>
      </c>
      <c r="G261" s="306" t="s">
        <v>297</v>
      </c>
      <c r="H261" s="299">
        <v>5</v>
      </c>
      <c r="I261" s="299">
        <v>5</v>
      </c>
      <c r="J261" s="299"/>
      <c r="K261" s="321" t="s">
        <v>477</v>
      </c>
    </row>
    <row r="262" spans="1:11" ht="12.75">
      <c r="A262" s="279"/>
      <c r="B262" s="280" t="s">
        <v>508</v>
      </c>
      <c r="C262" s="299" t="s">
        <v>333</v>
      </c>
      <c r="D262" s="302">
        <v>36923.385416666664</v>
      </c>
      <c r="E262" s="304">
        <v>36938</v>
      </c>
      <c r="F262" s="299" t="s">
        <v>351</v>
      </c>
      <c r="G262" s="306" t="s">
        <v>297</v>
      </c>
      <c r="H262" s="299">
        <v>5</v>
      </c>
      <c r="I262" s="299">
        <v>5</v>
      </c>
      <c r="J262" s="299"/>
      <c r="K262" s="321" t="s">
        <v>477</v>
      </c>
    </row>
    <row r="263" spans="1:11" ht="12.75">
      <c r="A263" s="279"/>
      <c r="B263" s="280" t="s">
        <v>509</v>
      </c>
      <c r="C263" s="299" t="s">
        <v>333</v>
      </c>
      <c r="D263" s="302">
        <v>36923.385416666664</v>
      </c>
      <c r="E263" s="304">
        <v>36938</v>
      </c>
      <c r="F263" s="299" t="s">
        <v>351</v>
      </c>
      <c r="G263" s="306" t="s">
        <v>297</v>
      </c>
      <c r="H263" s="299">
        <v>5</v>
      </c>
      <c r="I263" s="299">
        <v>5</v>
      </c>
      <c r="J263" s="299"/>
      <c r="K263" s="321" t="s">
        <v>477</v>
      </c>
    </row>
    <row r="264" spans="1:11" ht="12.75">
      <c r="A264" s="279"/>
      <c r="B264" s="280" t="s">
        <v>510</v>
      </c>
      <c r="C264" s="299" t="s">
        <v>333</v>
      </c>
      <c r="D264" s="302">
        <v>36923.385416666664</v>
      </c>
      <c r="E264" s="304">
        <v>36938</v>
      </c>
      <c r="F264" s="299" t="s">
        <v>351</v>
      </c>
      <c r="G264" s="306" t="s">
        <v>297</v>
      </c>
      <c r="H264" s="299">
        <v>5</v>
      </c>
      <c r="I264" s="299">
        <v>5</v>
      </c>
      <c r="J264" s="299"/>
      <c r="K264" s="321" t="s">
        <v>477</v>
      </c>
    </row>
    <row r="265" spans="1:11" ht="12.75">
      <c r="A265" s="279">
        <v>75</v>
      </c>
      <c r="B265" s="280" t="s">
        <v>88</v>
      </c>
      <c r="C265" s="299" t="s">
        <v>333</v>
      </c>
      <c r="D265" s="302">
        <v>36923.385416666664</v>
      </c>
      <c r="E265" s="304">
        <v>36938</v>
      </c>
      <c r="F265" s="299" t="s">
        <v>351</v>
      </c>
      <c r="G265" s="306" t="s">
        <v>297</v>
      </c>
      <c r="H265" s="299">
        <v>5</v>
      </c>
      <c r="I265" s="299">
        <v>5</v>
      </c>
      <c r="J265" s="299"/>
      <c r="K265" s="321" t="s">
        <v>477</v>
      </c>
    </row>
    <row r="266" spans="1:11" ht="12.75">
      <c r="A266" s="279">
        <v>29</v>
      </c>
      <c r="B266" s="280" t="s">
        <v>42</v>
      </c>
      <c r="C266" s="299" t="s">
        <v>333</v>
      </c>
      <c r="D266" s="302">
        <v>36923.385416666664</v>
      </c>
      <c r="E266" s="304">
        <v>36938</v>
      </c>
      <c r="F266" s="299" t="s">
        <v>351</v>
      </c>
      <c r="G266" s="306" t="s">
        <v>297</v>
      </c>
      <c r="H266" s="299">
        <v>5</v>
      </c>
      <c r="I266" s="299">
        <v>5</v>
      </c>
      <c r="J266" s="299"/>
      <c r="K266" s="321" t="s">
        <v>477</v>
      </c>
    </row>
    <row r="267" spans="1:11" ht="12.75">
      <c r="A267" s="279">
        <v>31</v>
      </c>
      <c r="B267" s="280" t="s">
        <v>44</v>
      </c>
      <c r="C267" s="299" t="s">
        <v>333</v>
      </c>
      <c r="D267" s="302">
        <v>36923.385416666664</v>
      </c>
      <c r="E267" s="304">
        <v>36938</v>
      </c>
      <c r="F267" s="299" t="s">
        <v>351</v>
      </c>
      <c r="G267" s="306" t="s">
        <v>297</v>
      </c>
      <c r="H267" s="299">
        <v>5</v>
      </c>
      <c r="I267" s="299">
        <v>5</v>
      </c>
      <c r="J267" s="299"/>
      <c r="K267" s="321" t="s">
        <v>477</v>
      </c>
    </row>
    <row r="268" spans="1:11" ht="12.75">
      <c r="A268" s="279"/>
      <c r="B268" s="280" t="s">
        <v>511</v>
      </c>
      <c r="C268" s="299" t="s">
        <v>333</v>
      </c>
      <c r="D268" s="302">
        <v>36923.385416666664</v>
      </c>
      <c r="E268" s="304">
        <v>36938</v>
      </c>
      <c r="F268" s="299" t="s">
        <v>351</v>
      </c>
      <c r="G268" s="306" t="s">
        <v>297</v>
      </c>
      <c r="H268" s="299">
        <v>5</v>
      </c>
      <c r="I268" s="299">
        <v>5</v>
      </c>
      <c r="J268" s="299"/>
      <c r="K268" s="321" t="s">
        <v>477</v>
      </c>
    </row>
    <row r="269" spans="1:11" ht="12.75">
      <c r="A269" s="279">
        <v>76</v>
      </c>
      <c r="B269" s="280" t="s">
        <v>89</v>
      </c>
      <c r="C269" s="299" t="s">
        <v>333</v>
      </c>
      <c r="D269" s="302">
        <v>36923.385416666664</v>
      </c>
      <c r="E269" s="304">
        <v>36938</v>
      </c>
      <c r="F269" s="299" t="s">
        <v>351</v>
      </c>
      <c r="G269" s="306" t="s">
        <v>297</v>
      </c>
      <c r="H269" s="299">
        <v>5</v>
      </c>
      <c r="I269" s="299">
        <v>5</v>
      </c>
      <c r="J269" s="299"/>
      <c r="K269" s="321" t="s">
        <v>477</v>
      </c>
    </row>
    <row r="270" spans="1:11" ht="12.75">
      <c r="A270" s="279"/>
      <c r="B270" s="280" t="s">
        <v>512</v>
      </c>
      <c r="C270" s="299" t="s">
        <v>333</v>
      </c>
      <c r="D270" s="302">
        <v>36923.385416666664</v>
      </c>
      <c r="E270" s="304">
        <v>36938</v>
      </c>
      <c r="F270" s="299" t="s">
        <v>351</v>
      </c>
      <c r="G270" s="306" t="s">
        <v>297</v>
      </c>
      <c r="H270" s="299">
        <v>5</v>
      </c>
      <c r="I270" s="299">
        <v>5</v>
      </c>
      <c r="J270" s="299"/>
      <c r="K270" s="321" t="s">
        <v>477</v>
      </c>
    </row>
    <row r="271" spans="1:11" ht="12.75">
      <c r="A271" s="279">
        <v>77</v>
      </c>
      <c r="B271" s="280" t="s">
        <v>90</v>
      </c>
      <c r="C271" s="299" t="s">
        <v>333</v>
      </c>
      <c r="D271" s="302">
        <v>36923.385416666664</v>
      </c>
      <c r="E271" s="304">
        <v>36938</v>
      </c>
      <c r="F271" s="299" t="s">
        <v>351</v>
      </c>
      <c r="G271" s="306" t="s">
        <v>297</v>
      </c>
      <c r="H271" s="299">
        <v>5</v>
      </c>
      <c r="I271" s="299">
        <v>5</v>
      </c>
      <c r="J271" s="299"/>
      <c r="K271" s="321" t="s">
        <v>477</v>
      </c>
    </row>
    <row r="272" spans="1:11" ht="12.75">
      <c r="A272" s="279"/>
      <c r="B272" s="280" t="s">
        <v>513</v>
      </c>
      <c r="C272" s="299" t="s">
        <v>333</v>
      </c>
      <c r="D272" s="302">
        <v>36923.385416666664</v>
      </c>
      <c r="E272" s="304">
        <v>36938</v>
      </c>
      <c r="F272" s="299" t="s">
        <v>351</v>
      </c>
      <c r="G272" s="306" t="s">
        <v>297</v>
      </c>
      <c r="H272" s="299">
        <v>5</v>
      </c>
      <c r="I272" s="299">
        <v>5</v>
      </c>
      <c r="J272" s="299"/>
      <c r="K272" s="321" t="s">
        <v>477</v>
      </c>
    </row>
    <row r="273" spans="1:11" ht="12.75">
      <c r="A273" s="279"/>
      <c r="B273" s="280" t="s">
        <v>514</v>
      </c>
      <c r="C273" s="299" t="s">
        <v>333</v>
      </c>
      <c r="D273" s="302">
        <v>36923.385416666664</v>
      </c>
      <c r="E273" s="304">
        <v>36938</v>
      </c>
      <c r="F273" s="299" t="s">
        <v>351</v>
      </c>
      <c r="G273" s="306" t="s">
        <v>297</v>
      </c>
      <c r="H273" s="299">
        <v>20</v>
      </c>
      <c r="I273" s="299">
        <v>20</v>
      </c>
      <c r="J273" s="299"/>
      <c r="K273" s="321" t="s">
        <v>477</v>
      </c>
    </row>
    <row r="274" spans="1:11" ht="12.75">
      <c r="A274" s="279">
        <v>25</v>
      </c>
      <c r="B274" s="280" t="s">
        <v>38</v>
      </c>
      <c r="C274" s="299" t="s">
        <v>333</v>
      </c>
      <c r="D274" s="302">
        <v>36923.385416666664</v>
      </c>
      <c r="E274" s="304">
        <v>36938</v>
      </c>
      <c r="F274" s="299" t="s">
        <v>351</v>
      </c>
      <c r="G274" s="306" t="s">
        <v>297</v>
      </c>
      <c r="H274" s="299">
        <v>5</v>
      </c>
      <c r="I274" s="299">
        <v>5</v>
      </c>
      <c r="J274" s="299"/>
      <c r="K274" s="321" t="s">
        <v>477</v>
      </c>
    </row>
    <row r="275" spans="1:11" ht="12.75">
      <c r="A275" s="279"/>
      <c r="B275" s="280" t="s">
        <v>515</v>
      </c>
      <c r="C275" s="299" t="s">
        <v>333</v>
      </c>
      <c r="D275" s="302">
        <v>36923.385416666664</v>
      </c>
      <c r="E275" s="304">
        <v>36938</v>
      </c>
      <c r="F275" s="299" t="s">
        <v>351</v>
      </c>
      <c r="G275" s="306" t="s">
        <v>297</v>
      </c>
      <c r="H275" s="299">
        <v>5</v>
      </c>
      <c r="I275" s="299">
        <v>5</v>
      </c>
      <c r="J275" s="299"/>
      <c r="K275" s="321" t="s">
        <v>477</v>
      </c>
    </row>
    <row r="276" spans="1:11" ht="12.75">
      <c r="A276" s="279"/>
      <c r="B276" s="280" t="s">
        <v>516</v>
      </c>
      <c r="C276" s="299" t="s">
        <v>333</v>
      </c>
      <c r="D276" s="302">
        <v>36923.385416666664</v>
      </c>
      <c r="E276" s="304">
        <v>36938</v>
      </c>
      <c r="F276" s="299" t="s">
        <v>351</v>
      </c>
      <c r="G276" s="306" t="s">
        <v>297</v>
      </c>
      <c r="H276" s="299">
        <v>20</v>
      </c>
      <c r="I276" s="299">
        <v>20</v>
      </c>
      <c r="J276" s="299"/>
      <c r="K276" s="321" t="s">
        <v>477</v>
      </c>
    </row>
    <row r="277" spans="1:11" ht="12.75">
      <c r="A277" s="279"/>
      <c r="B277" s="280" t="s">
        <v>517</v>
      </c>
      <c r="C277" s="299" t="s">
        <v>333</v>
      </c>
      <c r="D277" s="302">
        <v>36923.385416666664</v>
      </c>
      <c r="E277" s="304">
        <v>36938</v>
      </c>
      <c r="F277" s="299" t="s">
        <v>351</v>
      </c>
      <c r="G277" s="306" t="s">
        <v>297</v>
      </c>
      <c r="H277" s="299">
        <v>5</v>
      </c>
      <c r="I277" s="299">
        <v>5</v>
      </c>
      <c r="J277" s="299"/>
      <c r="K277" s="321" t="s">
        <v>477</v>
      </c>
    </row>
    <row r="278" spans="1:11" ht="12.75">
      <c r="A278" s="279"/>
      <c r="B278" s="280" t="s">
        <v>518</v>
      </c>
      <c r="C278" s="299" t="s">
        <v>333</v>
      </c>
      <c r="D278" s="302">
        <v>36923.385416666664</v>
      </c>
      <c r="E278" s="304">
        <v>36938</v>
      </c>
      <c r="F278" s="299" t="s">
        <v>351</v>
      </c>
      <c r="G278" s="306" t="s">
        <v>297</v>
      </c>
      <c r="H278" s="299">
        <v>20</v>
      </c>
      <c r="I278" s="299">
        <v>20</v>
      </c>
      <c r="J278" s="299"/>
      <c r="K278" s="321" t="s">
        <v>477</v>
      </c>
    </row>
    <row r="279" spans="1:11" ht="12.75">
      <c r="A279" s="279"/>
      <c r="B279" s="280" t="s">
        <v>519</v>
      </c>
      <c r="C279" s="299" t="s">
        <v>333</v>
      </c>
      <c r="D279" s="302">
        <v>36923.385416666664</v>
      </c>
      <c r="E279" s="304">
        <v>36938</v>
      </c>
      <c r="F279" s="299" t="s">
        <v>351</v>
      </c>
      <c r="G279" s="306" t="s">
        <v>297</v>
      </c>
      <c r="H279" s="299">
        <v>100</v>
      </c>
      <c r="I279" s="299">
        <v>100</v>
      </c>
      <c r="J279" s="299"/>
      <c r="K279" s="321" t="s">
        <v>477</v>
      </c>
    </row>
    <row r="280" spans="1:11" ht="12.75">
      <c r="A280" s="279">
        <v>18</v>
      </c>
      <c r="B280" s="280" t="s">
        <v>31</v>
      </c>
      <c r="C280" s="299" t="s">
        <v>333</v>
      </c>
      <c r="D280" s="302">
        <v>36923.385416666664</v>
      </c>
      <c r="E280" s="304">
        <v>36938</v>
      </c>
      <c r="F280" s="299" t="s">
        <v>351</v>
      </c>
      <c r="G280" s="306" t="s">
        <v>297</v>
      </c>
      <c r="H280" s="299">
        <v>5</v>
      </c>
      <c r="I280" s="299">
        <v>5</v>
      </c>
      <c r="J280" s="299"/>
      <c r="K280" s="321" t="s">
        <v>477</v>
      </c>
    </row>
    <row r="281" spans="1:11" ht="12.75">
      <c r="A281" s="279"/>
      <c r="B281" s="280" t="s">
        <v>520</v>
      </c>
      <c r="C281" s="299" t="s">
        <v>333</v>
      </c>
      <c r="D281" s="302">
        <v>36923.385416666664</v>
      </c>
      <c r="E281" s="304">
        <v>36938</v>
      </c>
      <c r="F281" s="299" t="s">
        <v>351</v>
      </c>
      <c r="G281" s="306" t="s">
        <v>297</v>
      </c>
      <c r="H281" s="299">
        <v>5</v>
      </c>
      <c r="I281" s="299">
        <v>5</v>
      </c>
      <c r="J281" s="299"/>
      <c r="K281" s="321" t="s">
        <v>477</v>
      </c>
    </row>
    <row r="282" spans="1:11" ht="12.75">
      <c r="A282" s="279"/>
      <c r="B282" s="280" t="s">
        <v>32</v>
      </c>
      <c r="C282" s="299" t="s">
        <v>333</v>
      </c>
      <c r="D282" s="302">
        <v>36923.385416666664</v>
      </c>
      <c r="E282" s="304">
        <v>36938</v>
      </c>
      <c r="F282" s="299" t="s">
        <v>351</v>
      </c>
      <c r="G282" s="306" t="s">
        <v>297</v>
      </c>
      <c r="H282" s="299">
        <v>5</v>
      </c>
      <c r="I282" s="299">
        <v>5</v>
      </c>
      <c r="J282" s="299"/>
      <c r="K282" s="321" t="s">
        <v>477</v>
      </c>
    </row>
    <row r="283" spans="1:11" ht="12.75">
      <c r="A283" s="279"/>
      <c r="B283" s="280" t="s">
        <v>521</v>
      </c>
      <c r="C283" s="299" t="s">
        <v>333</v>
      </c>
      <c r="D283" s="302">
        <v>36923.385416666664</v>
      </c>
      <c r="E283" s="304">
        <v>36938</v>
      </c>
      <c r="F283" s="299" t="s">
        <v>351</v>
      </c>
      <c r="G283" s="306" t="s">
        <v>297</v>
      </c>
      <c r="H283" s="299">
        <v>5</v>
      </c>
      <c r="I283" s="299">
        <v>5</v>
      </c>
      <c r="J283" s="299"/>
      <c r="K283" s="321" t="s">
        <v>477</v>
      </c>
    </row>
    <row r="284" spans="1:11" ht="12.75">
      <c r="A284" s="279"/>
      <c r="B284" s="280" t="s">
        <v>522</v>
      </c>
      <c r="C284" s="299" t="s">
        <v>333</v>
      </c>
      <c r="D284" s="302">
        <v>36923.385416666664</v>
      </c>
      <c r="E284" s="304">
        <v>36938</v>
      </c>
      <c r="F284" s="299" t="s">
        <v>351</v>
      </c>
      <c r="G284" s="306" t="s">
        <v>297</v>
      </c>
      <c r="H284" s="299">
        <v>5</v>
      </c>
      <c r="I284" s="299">
        <v>5</v>
      </c>
      <c r="J284" s="299"/>
      <c r="K284" s="321" t="s">
        <v>477</v>
      </c>
    </row>
    <row r="285" spans="1:11" ht="12.75">
      <c r="A285" s="279"/>
      <c r="B285" s="280" t="s">
        <v>523</v>
      </c>
      <c r="C285" s="299" t="s">
        <v>333</v>
      </c>
      <c r="D285" s="302">
        <v>36923.385416666664</v>
      </c>
      <c r="E285" s="304">
        <v>36938</v>
      </c>
      <c r="F285" s="299" t="s">
        <v>351</v>
      </c>
      <c r="G285" s="306" t="s">
        <v>297</v>
      </c>
      <c r="H285" s="299">
        <v>5</v>
      </c>
      <c r="I285" s="299">
        <v>5</v>
      </c>
      <c r="J285" s="299"/>
      <c r="K285" s="321" t="s">
        <v>477</v>
      </c>
    </row>
    <row r="286" spans="1:11" ht="12.75">
      <c r="A286" s="279">
        <v>27</v>
      </c>
      <c r="B286" s="280" t="s">
        <v>341</v>
      </c>
      <c r="C286" s="299" t="s">
        <v>333</v>
      </c>
      <c r="D286" s="302">
        <v>36923.385416666664</v>
      </c>
      <c r="E286" s="304">
        <v>36938</v>
      </c>
      <c r="F286" s="299" t="s">
        <v>351</v>
      </c>
      <c r="G286" s="306" t="s">
        <v>297</v>
      </c>
      <c r="H286" s="299">
        <v>5</v>
      </c>
      <c r="I286" s="299">
        <v>5</v>
      </c>
      <c r="J286" s="299"/>
      <c r="K286" s="321" t="s">
        <v>477</v>
      </c>
    </row>
    <row r="287" spans="1:11" ht="12.75">
      <c r="A287" s="279">
        <v>20</v>
      </c>
      <c r="B287" s="280" t="s">
        <v>33</v>
      </c>
      <c r="C287" s="299" t="s">
        <v>333</v>
      </c>
      <c r="D287" s="302">
        <v>36923.385416666664</v>
      </c>
      <c r="E287" s="304">
        <v>36938</v>
      </c>
      <c r="F287" s="299" t="s">
        <v>351</v>
      </c>
      <c r="G287" s="306" t="s">
        <v>297</v>
      </c>
      <c r="H287" s="299">
        <v>5</v>
      </c>
      <c r="I287" s="299">
        <v>5</v>
      </c>
      <c r="J287" s="299"/>
      <c r="K287" s="321" t="s">
        <v>477</v>
      </c>
    </row>
    <row r="288" spans="1:11" ht="12.75">
      <c r="A288" s="279">
        <v>34</v>
      </c>
      <c r="B288" s="280" t="s">
        <v>345</v>
      </c>
      <c r="C288" s="299" t="s">
        <v>333</v>
      </c>
      <c r="D288" s="302">
        <v>36923.385416666664</v>
      </c>
      <c r="E288" s="304">
        <v>36938</v>
      </c>
      <c r="F288" s="299" t="s">
        <v>344</v>
      </c>
      <c r="G288" s="306" t="s">
        <v>297</v>
      </c>
      <c r="H288" s="299">
        <v>5</v>
      </c>
      <c r="I288" s="299">
        <v>5</v>
      </c>
      <c r="J288" s="299"/>
      <c r="K288" s="321" t="s">
        <v>477</v>
      </c>
    </row>
    <row r="289" spans="1:11" ht="12.75">
      <c r="A289" s="279"/>
      <c r="B289" s="280" t="s">
        <v>524</v>
      </c>
      <c r="C289" s="299" t="s">
        <v>333</v>
      </c>
      <c r="D289" s="302">
        <v>36923.385416666664</v>
      </c>
      <c r="E289" s="304">
        <v>36938</v>
      </c>
      <c r="F289" s="299" t="s">
        <v>344</v>
      </c>
      <c r="G289" s="306" t="s">
        <v>297</v>
      </c>
      <c r="H289" s="299">
        <v>15</v>
      </c>
      <c r="I289" s="299">
        <v>15</v>
      </c>
      <c r="J289" s="299"/>
      <c r="K289" s="321" t="s">
        <v>477</v>
      </c>
    </row>
    <row r="290" spans="1:11" ht="12.75">
      <c r="A290" s="279">
        <v>21</v>
      </c>
      <c r="B290" s="280" t="s">
        <v>339</v>
      </c>
      <c r="C290" s="299" t="s">
        <v>333</v>
      </c>
      <c r="D290" s="302">
        <v>36923.385416666664</v>
      </c>
      <c r="E290" s="304">
        <v>36938</v>
      </c>
      <c r="F290" s="299" t="s">
        <v>344</v>
      </c>
      <c r="G290" s="306" t="s">
        <v>297</v>
      </c>
      <c r="H290" s="299">
        <v>5</v>
      </c>
      <c r="I290" s="299">
        <v>5</v>
      </c>
      <c r="J290" s="299"/>
      <c r="K290" s="321" t="s">
        <v>477</v>
      </c>
    </row>
    <row r="291" spans="1:11" ht="12.75">
      <c r="A291" s="279">
        <v>22</v>
      </c>
      <c r="B291" s="280" t="s">
        <v>35</v>
      </c>
      <c r="C291" s="299" t="s">
        <v>333</v>
      </c>
      <c r="D291" s="302">
        <v>36923.385416666664</v>
      </c>
      <c r="E291" s="304">
        <v>36938</v>
      </c>
      <c r="F291" s="299" t="s">
        <v>344</v>
      </c>
      <c r="G291" s="306" t="s">
        <v>297</v>
      </c>
      <c r="H291" s="299">
        <v>5</v>
      </c>
      <c r="I291" s="299">
        <v>5</v>
      </c>
      <c r="J291" s="299"/>
      <c r="K291" s="321" t="s">
        <v>477</v>
      </c>
    </row>
    <row r="292" spans="1:11" ht="12.75">
      <c r="A292" s="279">
        <v>24</v>
      </c>
      <c r="B292" s="280" t="s">
        <v>37</v>
      </c>
      <c r="C292" s="299" t="s">
        <v>333</v>
      </c>
      <c r="D292" s="302">
        <v>36923.385416666664</v>
      </c>
      <c r="E292" s="304">
        <v>36938</v>
      </c>
      <c r="F292" s="299" t="s">
        <v>344</v>
      </c>
      <c r="G292" s="306" t="s">
        <v>297</v>
      </c>
      <c r="H292" s="299">
        <v>5</v>
      </c>
      <c r="I292" s="299">
        <v>5</v>
      </c>
      <c r="J292" s="299"/>
      <c r="K292" s="321" t="s">
        <v>477</v>
      </c>
    </row>
    <row r="293" spans="1:11" ht="12.75">
      <c r="A293" s="279">
        <v>26</v>
      </c>
      <c r="B293" s="280" t="s">
        <v>39</v>
      </c>
      <c r="C293" s="299" t="s">
        <v>333</v>
      </c>
      <c r="D293" s="302">
        <v>36923.385416666664</v>
      </c>
      <c r="E293" s="304">
        <v>36938</v>
      </c>
      <c r="F293" s="299" t="s">
        <v>344</v>
      </c>
      <c r="G293" s="306">
        <v>19</v>
      </c>
      <c r="H293" s="299">
        <v>5</v>
      </c>
      <c r="I293" s="299">
        <v>5</v>
      </c>
      <c r="J293" s="299"/>
      <c r="K293" s="321" t="s">
        <v>477</v>
      </c>
    </row>
    <row r="294" spans="1:11" ht="12.75">
      <c r="A294" s="279">
        <v>35</v>
      </c>
      <c r="B294" s="280" t="s">
        <v>346</v>
      </c>
      <c r="C294" s="299" t="s">
        <v>333</v>
      </c>
      <c r="D294" s="302">
        <v>36923.385416666664</v>
      </c>
      <c r="E294" s="304">
        <v>36938</v>
      </c>
      <c r="F294" s="299" t="s">
        <v>344</v>
      </c>
      <c r="G294" s="306" t="s">
        <v>297</v>
      </c>
      <c r="H294" s="299">
        <v>5</v>
      </c>
      <c r="I294" s="299">
        <v>5</v>
      </c>
      <c r="J294" s="299"/>
      <c r="K294" s="321" t="s">
        <v>477</v>
      </c>
    </row>
    <row r="295" spans="1:11" ht="12.75">
      <c r="A295" s="279"/>
      <c r="B295" s="280" t="s">
        <v>525</v>
      </c>
      <c r="C295" s="299" t="s">
        <v>333</v>
      </c>
      <c r="D295" s="302">
        <v>36923.385416666664</v>
      </c>
      <c r="E295" s="304">
        <v>36938</v>
      </c>
      <c r="F295" s="299" t="s">
        <v>344</v>
      </c>
      <c r="G295" s="306" t="s">
        <v>297</v>
      </c>
      <c r="H295" s="299">
        <v>5</v>
      </c>
      <c r="I295" s="299">
        <v>5</v>
      </c>
      <c r="J295" s="299"/>
      <c r="K295" s="321" t="s">
        <v>477</v>
      </c>
    </row>
    <row r="296" spans="1:11" ht="12.75">
      <c r="A296" s="279"/>
      <c r="B296" s="280" t="s">
        <v>526</v>
      </c>
      <c r="C296" s="299" t="s">
        <v>333</v>
      </c>
      <c r="D296" s="302">
        <v>36923.385416666664</v>
      </c>
      <c r="E296" s="304">
        <v>36938</v>
      </c>
      <c r="F296" s="299" t="s">
        <v>344</v>
      </c>
      <c r="G296" s="306" t="s">
        <v>297</v>
      </c>
      <c r="H296" s="299">
        <v>20</v>
      </c>
      <c r="I296" s="299">
        <v>20</v>
      </c>
      <c r="J296" s="299"/>
      <c r="K296" s="321" t="s">
        <v>477</v>
      </c>
    </row>
    <row r="297" spans="1:11" ht="12.75">
      <c r="A297" s="279"/>
      <c r="B297" s="280" t="s">
        <v>340</v>
      </c>
      <c r="C297" s="299" t="s">
        <v>333</v>
      </c>
      <c r="D297" s="302">
        <v>36923.385416666664</v>
      </c>
      <c r="E297" s="304">
        <v>36938</v>
      </c>
      <c r="F297" s="299" t="s">
        <v>344</v>
      </c>
      <c r="G297" s="306" t="s">
        <v>297</v>
      </c>
      <c r="H297" s="299">
        <v>5</v>
      </c>
      <c r="I297" s="299">
        <v>5</v>
      </c>
      <c r="J297" s="299"/>
      <c r="K297" s="321" t="s">
        <v>477</v>
      </c>
    </row>
    <row r="298" spans="1:11" ht="12.75">
      <c r="A298" s="279"/>
      <c r="B298" s="280" t="s">
        <v>527</v>
      </c>
      <c r="C298" s="299" t="s">
        <v>333</v>
      </c>
      <c r="D298" s="302">
        <v>36923.385416666664</v>
      </c>
      <c r="E298" s="304">
        <v>36938</v>
      </c>
      <c r="F298" s="299" t="s">
        <v>344</v>
      </c>
      <c r="G298" s="306" t="s">
        <v>297</v>
      </c>
      <c r="H298" s="299">
        <v>5</v>
      </c>
      <c r="I298" s="299">
        <v>5</v>
      </c>
      <c r="J298" s="299"/>
      <c r="K298" s="321" t="s">
        <v>477</v>
      </c>
    </row>
    <row r="299" spans="1:11" ht="12.75">
      <c r="A299" s="279"/>
      <c r="B299" s="280" t="s">
        <v>528</v>
      </c>
      <c r="C299" s="299" t="s">
        <v>333</v>
      </c>
      <c r="D299" s="302">
        <v>36923.385416666664</v>
      </c>
      <c r="E299" s="304">
        <v>36938</v>
      </c>
      <c r="F299" s="299" t="s">
        <v>344</v>
      </c>
      <c r="G299" s="306" t="s">
        <v>297</v>
      </c>
      <c r="H299" s="299">
        <v>5</v>
      </c>
      <c r="I299" s="299">
        <v>5</v>
      </c>
      <c r="J299" s="299"/>
      <c r="K299" s="321" t="s">
        <v>477</v>
      </c>
    </row>
    <row r="300" spans="1:11" ht="12.75">
      <c r="A300" s="279"/>
      <c r="B300" s="280" t="s">
        <v>529</v>
      </c>
      <c r="C300" s="299" t="s">
        <v>333</v>
      </c>
      <c r="D300" s="302">
        <v>36923.385416666664</v>
      </c>
      <c r="E300" s="304">
        <v>36938</v>
      </c>
      <c r="F300" s="299" t="s">
        <v>344</v>
      </c>
      <c r="G300" s="306" t="s">
        <v>297</v>
      </c>
      <c r="H300" s="299">
        <v>5</v>
      </c>
      <c r="I300" s="299">
        <v>5</v>
      </c>
      <c r="J300" s="299"/>
      <c r="K300" s="321" t="s">
        <v>477</v>
      </c>
    </row>
    <row r="301" spans="1:11" ht="12.75">
      <c r="A301" s="279"/>
      <c r="B301" s="280" t="s">
        <v>530</v>
      </c>
      <c r="C301" s="299" t="s">
        <v>333</v>
      </c>
      <c r="D301" s="302">
        <v>36923.385416666664</v>
      </c>
      <c r="E301" s="304">
        <v>36938</v>
      </c>
      <c r="F301" s="299" t="s">
        <v>344</v>
      </c>
      <c r="G301" s="306" t="s">
        <v>297</v>
      </c>
      <c r="H301" s="299">
        <v>5</v>
      </c>
      <c r="I301" s="299">
        <v>5</v>
      </c>
      <c r="J301" s="299"/>
      <c r="K301" s="321" t="s">
        <v>477</v>
      </c>
    </row>
    <row r="302" spans="1:11" ht="12.75">
      <c r="A302" s="279"/>
      <c r="B302" s="280" t="s">
        <v>531</v>
      </c>
      <c r="C302" s="299" t="s">
        <v>333</v>
      </c>
      <c r="D302" s="302">
        <v>36923.385416666664</v>
      </c>
      <c r="E302" s="304">
        <v>36938</v>
      </c>
      <c r="F302" s="299" t="s">
        <v>344</v>
      </c>
      <c r="G302" s="306" t="s">
        <v>297</v>
      </c>
      <c r="H302" s="299">
        <v>5</v>
      </c>
      <c r="I302" s="299">
        <v>5</v>
      </c>
      <c r="J302" s="299"/>
      <c r="K302" s="321" t="s">
        <v>477</v>
      </c>
    </row>
    <row r="303" spans="1:11" ht="12.75">
      <c r="A303" s="279">
        <v>89</v>
      </c>
      <c r="B303" s="280" t="s">
        <v>102</v>
      </c>
      <c r="C303" s="299" t="s">
        <v>333</v>
      </c>
      <c r="D303" s="302">
        <v>36923.385416666664</v>
      </c>
      <c r="E303" s="304">
        <v>36938</v>
      </c>
      <c r="F303" s="299" t="s">
        <v>344</v>
      </c>
      <c r="G303" s="306" t="s">
        <v>297</v>
      </c>
      <c r="H303" s="299">
        <v>5</v>
      </c>
      <c r="I303" s="299">
        <v>5</v>
      </c>
      <c r="J303" s="299"/>
      <c r="K303" s="321" t="s">
        <v>477</v>
      </c>
    </row>
    <row r="304" spans="1:11" ht="12.75">
      <c r="A304" s="279"/>
      <c r="B304" s="280" t="s">
        <v>532</v>
      </c>
      <c r="C304" s="299" t="s">
        <v>333</v>
      </c>
      <c r="D304" s="302">
        <v>36923.385416666664</v>
      </c>
      <c r="E304" s="304">
        <v>36938</v>
      </c>
      <c r="F304" s="299" t="s">
        <v>344</v>
      </c>
      <c r="G304" s="306" t="s">
        <v>297</v>
      </c>
      <c r="H304" s="299">
        <v>20</v>
      </c>
      <c r="I304" s="299">
        <v>20</v>
      </c>
      <c r="J304" s="299"/>
      <c r="K304" s="321" t="s">
        <v>477</v>
      </c>
    </row>
    <row r="305" spans="1:11" ht="12.75">
      <c r="A305" s="279"/>
      <c r="B305" s="280" t="s">
        <v>533</v>
      </c>
      <c r="C305" s="299" t="s">
        <v>333</v>
      </c>
      <c r="D305" s="302">
        <v>36923.385416666664</v>
      </c>
      <c r="E305" s="304">
        <v>36938</v>
      </c>
      <c r="F305" s="299" t="s">
        <v>344</v>
      </c>
      <c r="G305" s="306" t="s">
        <v>297</v>
      </c>
      <c r="H305" s="299">
        <v>5</v>
      </c>
      <c r="I305" s="299">
        <v>5</v>
      </c>
      <c r="J305" s="299"/>
      <c r="K305" s="321" t="s">
        <v>477</v>
      </c>
    </row>
    <row r="306" spans="1:11" ht="12.75">
      <c r="A306" s="279"/>
      <c r="B306" s="280" t="s">
        <v>534</v>
      </c>
      <c r="C306" s="299" t="s">
        <v>333</v>
      </c>
      <c r="D306" s="302">
        <v>36923.385416666664</v>
      </c>
      <c r="E306" s="304">
        <v>36938</v>
      </c>
      <c r="F306" s="299" t="s">
        <v>344</v>
      </c>
      <c r="G306" s="306" t="s">
        <v>297</v>
      </c>
      <c r="H306" s="299">
        <v>5</v>
      </c>
      <c r="I306" s="299">
        <v>5</v>
      </c>
      <c r="J306" s="299"/>
      <c r="K306" s="321" t="s">
        <v>477</v>
      </c>
    </row>
    <row r="307" spans="1:11" ht="12.75">
      <c r="A307" s="279"/>
      <c r="B307" s="280" t="s">
        <v>535</v>
      </c>
      <c r="C307" s="299" t="s">
        <v>333</v>
      </c>
      <c r="D307" s="302">
        <v>36923.385416666664</v>
      </c>
      <c r="E307" s="304">
        <v>36938</v>
      </c>
      <c r="F307" s="299" t="s">
        <v>344</v>
      </c>
      <c r="G307" s="306" t="s">
        <v>297</v>
      </c>
      <c r="H307" s="299">
        <v>5</v>
      </c>
      <c r="I307" s="299">
        <v>5</v>
      </c>
      <c r="J307" s="299"/>
      <c r="K307" s="321" t="s">
        <v>477</v>
      </c>
    </row>
    <row r="308" spans="1:11" ht="12.75">
      <c r="A308" s="279"/>
      <c r="B308" s="280" t="s">
        <v>536</v>
      </c>
      <c r="C308" s="299" t="s">
        <v>333</v>
      </c>
      <c r="D308" s="302">
        <v>36923.385416666664</v>
      </c>
      <c r="E308" s="304">
        <v>36938</v>
      </c>
      <c r="F308" s="299" t="s">
        <v>344</v>
      </c>
      <c r="G308" s="306" t="s">
        <v>297</v>
      </c>
      <c r="H308" s="299">
        <v>5</v>
      </c>
      <c r="I308" s="299">
        <v>5</v>
      </c>
      <c r="J308" s="299"/>
      <c r="K308" s="321" t="s">
        <v>477</v>
      </c>
    </row>
    <row r="309" spans="1:11" ht="12.75">
      <c r="A309" s="279">
        <v>36</v>
      </c>
      <c r="B309" s="280" t="s">
        <v>537</v>
      </c>
      <c r="C309" s="299" t="s">
        <v>333</v>
      </c>
      <c r="D309" s="302">
        <v>36923.385416666664</v>
      </c>
      <c r="E309" s="304">
        <v>36938</v>
      </c>
      <c r="F309" s="299" t="s">
        <v>344</v>
      </c>
      <c r="G309" s="306" t="s">
        <v>297</v>
      </c>
      <c r="H309" s="299">
        <v>5</v>
      </c>
      <c r="I309" s="299">
        <v>5</v>
      </c>
      <c r="J309" s="299"/>
      <c r="K309" s="321" t="s">
        <v>477</v>
      </c>
    </row>
    <row r="310" spans="1:11" ht="12.75">
      <c r="A310" s="279"/>
      <c r="B310" s="280" t="s">
        <v>538</v>
      </c>
      <c r="C310" s="299" t="s">
        <v>333</v>
      </c>
      <c r="D310" s="302">
        <v>36923.385416666664</v>
      </c>
      <c r="E310" s="304">
        <v>36938</v>
      </c>
      <c r="F310" s="299" t="s">
        <v>344</v>
      </c>
      <c r="G310" s="306" t="s">
        <v>297</v>
      </c>
      <c r="H310" s="299">
        <v>5</v>
      </c>
      <c r="I310" s="299">
        <v>5</v>
      </c>
      <c r="J310" s="299"/>
      <c r="K310" s="321" t="s">
        <v>477</v>
      </c>
    </row>
    <row r="311" spans="1:11" ht="12.75">
      <c r="A311" s="279">
        <v>94</v>
      </c>
      <c r="B311" s="280" t="s">
        <v>107</v>
      </c>
      <c r="C311" s="299" t="s">
        <v>333</v>
      </c>
      <c r="D311" s="302">
        <v>36923.385416666664</v>
      </c>
      <c r="E311" s="304">
        <v>36938</v>
      </c>
      <c r="F311" s="299" t="s">
        <v>344</v>
      </c>
      <c r="G311" s="306" t="s">
        <v>297</v>
      </c>
      <c r="H311" s="299">
        <v>5</v>
      </c>
      <c r="I311" s="299">
        <v>5</v>
      </c>
      <c r="J311" s="299"/>
      <c r="K311" s="321" t="s">
        <v>477</v>
      </c>
    </row>
    <row r="312" spans="1:11" ht="12.75">
      <c r="A312" s="279"/>
      <c r="B312" s="280" t="s">
        <v>539</v>
      </c>
      <c r="C312" s="299" t="s">
        <v>333</v>
      </c>
      <c r="D312" s="302">
        <v>36923.385416666664</v>
      </c>
      <c r="E312" s="304">
        <v>36938</v>
      </c>
      <c r="F312" s="299" t="s">
        <v>344</v>
      </c>
      <c r="G312" s="306" t="s">
        <v>297</v>
      </c>
      <c r="H312" s="299">
        <v>5</v>
      </c>
      <c r="I312" s="299">
        <v>5</v>
      </c>
      <c r="J312" s="299"/>
      <c r="K312" s="321" t="s">
        <v>477</v>
      </c>
    </row>
    <row r="313" spans="1:11" ht="12.75">
      <c r="A313" s="279"/>
      <c r="B313" s="280" t="s">
        <v>540</v>
      </c>
      <c r="C313" s="299" t="s">
        <v>333</v>
      </c>
      <c r="D313" s="302">
        <v>36923.385416666664</v>
      </c>
      <c r="E313" s="304">
        <v>36938</v>
      </c>
      <c r="F313" s="299" t="s">
        <v>344</v>
      </c>
      <c r="G313" s="306" t="s">
        <v>297</v>
      </c>
      <c r="H313" s="299">
        <v>5</v>
      </c>
      <c r="I313" s="299">
        <v>5</v>
      </c>
      <c r="J313" s="299"/>
      <c r="K313" s="321" t="s">
        <v>477</v>
      </c>
    </row>
    <row r="314" spans="1:11" ht="12.75">
      <c r="A314" s="279"/>
      <c r="B314" s="280" t="s">
        <v>541</v>
      </c>
      <c r="C314" s="299" t="s">
        <v>333</v>
      </c>
      <c r="D314" s="302">
        <v>36923.385416666664</v>
      </c>
      <c r="E314" s="304">
        <v>36938</v>
      </c>
      <c r="F314" s="299" t="s">
        <v>344</v>
      </c>
      <c r="G314" s="306" t="s">
        <v>297</v>
      </c>
      <c r="H314" s="299">
        <v>20</v>
      </c>
      <c r="I314" s="299">
        <v>20</v>
      </c>
      <c r="J314" s="299"/>
      <c r="K314" s="321" t="s">
        <v>477</v>
      </c>
    </row>
    <row r="315" spans="1:11" ht="12.75">
      <c r="A315" s="279"/>
      <c r="B315" s="280" t="s">
        <v>542</v>
      </c>
      <c r="C315" s="299" t="s">
        <v>333</v>
      </c>
      <c r="D315" s="302">
        <v>36923.385416666664</v>
      </c>
      <c r="E315" s="304">
        <v>36938</v>
      </c>
      <c r="F315" s="299" t="s">
        <v>344</v>
      </c>
      <c r="G315" s="306" t="s">
        <v>297</v>
      </c>
      <c r="H315" s="299">
        <v>5</v>
      </c>
      <c r="I315" s="299">
        <v>5</v>
      </c>
      <c r="J315" s="299"/>
      <c r="K315" s="321" t="s">
        <v>477</v>
      </c>
    </row>
    <row r="316" spans="1:11" ht="12.75">
      <c r="A316" s="279"/>
      <c r="B316" s="280" t="s">
        <v>401</v>
      </c>
      <c r="C316" s="299" t="s">
        <v>333</v>
      </c>
      <c r="D316" s="302">
        <v>36923.385416666664</v>
      </c>
      <c r="E316" s="304">
        <v>36938</v>
      </c>
      <c r="F316" s="299" t="s">
        <v>344</v>
      </c>
      <c r="G316" s="306" t="s">
        <v>297</v>
      </c>
      <c r="H316" s="299">
        <v>5</v>
      </c>
      <c r="I316" s="299">
        <v>5</v>
      </c>
      <c r="J316" s="299"/>
      <c r="K316" s="321" t="s">
        <v>477</v>
      </c>
    </row>
    <row r="317" spans="1:11" ht="12.75">
      <c r="A317" s="279"/>
      <c r="B317" s="280" t="s">
        <v>543</v>
      </c>
      <c r="C317" s="299" t="s">
        <v>333</v>
      </c>
      <c r="D317" s="302">
        <v>36923.385416666664</v>
      </c>
      <c r="E317" s="304">
        <v>36938</v>
      </c>
      <c r="F317" s="299" t="s">
        <v>344</v>
      </c>
      <c r="G317" s="306" t="s">
        <v>297</v>
      </c>
      <c r="H317" s="299">
        <v>5</v>
      </c>
      <c r="I317" s="299">
        <v>5</v>
      </c>
      <c r="J317" s="299"/>
      <c r="K317" s="321" t="s">
        <v>477</v>
      </c>
    </row>
    <row r="318" spans="1:11" ht="12.75">
      <c r="A318" s="279"/>
      <c r="B318" s="280" t="s">
        <v>544</v>
      </c>
      <c r="C318" s="299" t="s">
        <v>333</v>
      </c>
      <c r="D318" s="302">
        <v>36923.385416666664</v>
      </c>
      <c r="E318" s="304">
        <v>36938</v>
      </c>
      <c r="F318" s="299" t="s">
        <v>344</v>
      </c>
      <c r="G318" s="306" t="s">
        <v>297</v>
      </c>
      <c r="H318" s="299">
        <v>20</v>
      </c>
      <c r="I318" s="299">
        <v>20</v>
      </c>
      <c r="J318" s="299"/>
      <c r="K318" s="321" t="s">
        <v>477</v>
      </c>
    </row>
    <row r="319" spans="1:11" ht="12.75">
      <c r="A319" s="279"/>
      <c r="B319" s="280" t="s">
        <v>545</v>
      </c>
      <c r="C319" s="299" t="s">
        <v>333</v>
      </c>
      <c r="D319" s="302">
        <v>36923.385416666664</v>
      </c>
      <c r="E319" s="304">
        <v>36938</v>
      </c>
      <c r="F319" s="299" t="s">
        <v>344</v>
      </c>
      <c r="G319" s="306" t="s">
        <v>297</v>
      </c>
      <c r="H319" s="299">
        <v>5</v>
      </c>
      <c r="I319" s="299">
        <v>5</v>
      </c>
      <c r="J319" s="299"/>
      <c r="K319" s="321" t="s">
        <v>477</v>
      </c>
    </row>
    <row r="320" spans="1:11" ht="12.75">
      <c r="A320" s="279"/>
      <c r="B320" s="280" t="s">
        <v>546</v>
      </c>
      <c r="C320" s="299" t="s">
        <v>333</v>
      </c>
      <c r="D320" s="302">
        <v>36923.385416666664</v>
      </c>
      <c r="E320" s="304">
        <v>36938</v>
      </c>
      <c r="F320" s="299" t="s">
        <v>344</v>
      </c>
      <c r="G320" s="306" t="s">
        <v>297</v>
      </c>
      <c r="H320" s="299">
        <v>5</v>
      </c>
      <c r="I320" s="299">
        <v>5</v>
      </c>
      <c r="J320" s="299"/>
      <c r="K320" s="321" t="s">
        <v>477</v>
      </c>
    </row>
    <row r="321" spans="1:11" ht="12.75">
      <c r="A321" s="279">
        <v>38</v>
      </c>
      <c r="B321" s="280" t="s">
        <v>347</v>
      </c>
      <c r="C321" s="299" t="s">
        <v>333</v>
      </c>
      <c r="D321" s="302">
        <v>36923.385416666664</v>
      </c>
      <c r="E321" s="304">
        <v>36938</v>
      </c>
      <c r="F321" s="299" t="s">
        <v>344</v>
      </c>
      <c r="G321" s="306" t="s">
        <v>297</v>
      </c>
      <c r="H321" s="299">
        <v>5</v>
      </c>
      <c r="I321" s="299">
        <v>5</v>
      </c>
      <c r="J321" s="299"/>
      <c r="K321" s="321" t="s">
        <v>477</v>
      </c>
    </row>
    <row r="322" spans="1:11" ht="12.75">
      <c r="A322" s="279">
        <v>39</v>
      </c>
      <c r="B322" s="280" t="s">
        <v>52</v>
      </c>
      <c r="C322" s="299" t="s">
        <v>333</v>
      </c>
      <c r="D322" s="302">
        <v>36923.385416666664</v>
      </c>
      <c r="E322" s="304">
        <v>36938</v>
      </c>
      <c r="F322" s="299" t="s">
        <v>344</v>
      </c>
      <c r="G322" s="306" t="s">
        <v>297</v>
      </c>
      <c r="H322" s="299">
        <v>5</v>
      </c>
      <c r="I322" s="299">
        <v>5</v>
      </c>
      <c r="J322" s="299"/>
      <c r="K322" s="321" t="s">
        <v>477</v>
      </c>
    </row>
    <row r="323" spans="1:11" ht="12.75">
      <c r="A323" s="279">
        <v>40</v>
      </c>
      <c r="B323" s="280" t="s">
        <v>348</v>
      </c>
      <c r="C323" s="299" t="s">
        <v>333</v>
      </c>
      <c r="D323" s="302">
        <v>36923.385416666664</v>
      </c>
      <c r="E323" s="304">
        <v>36938</v>
      </c>
      <c r="F323" s="299" t="s">
        <v>344</v>
      </c>
      <c r="G323" s="306" t="s">
        <v>297</v>
      </c>
      <c r="H323" s="299">
        <v>5</v>
      </c>
      <c r="I323" s="299">
        <v>5</v>
      </c>
      <c r="J323" s="299"/>
      <c r="K323" s="321" t="s">
        <v>477</v>
      </c>
    </row>
    <row r="324" spans="1:11" ht="12.75">
      <c r="A324" s="279"/>
      <c r="B324" s="280" t="s">
        <v>547</v>
      </c>
      <c r="C324" s="299" t="s">
        <v>333</v>
      </c>
      <c r="D324" s="302">
        <v>36923.385416666664</v>
      </c>
      <c r="E324" s="304">
        <v>36938</v>
      </c>
      <c r="F324" s="299" t="s">
        <v>344</v>
      </c>
      <c r="G324" s="306" t="s">
        <v>297</v>
      </c>
      <c r="H324" s="299">
        <v>5</v>
      </c>
      <c r="I324" s="299">
        <v>5</v>
      </c>
      <c r="J324" s="299"/>
      <c r="K324" s="321" t="s">
        <v>477</v>
      </c>
    </row>
    <row r="325" spans="1:11" ht="12.75">
      <c r="A325" s="279"/>
      <c r="B325" s="280" t="s">
        <v>548</v>
      </c>
      <c r="C325" s="299" t="s">
        <v>333</v>
      </c>
      <c r="D325" s="302">
        <v>36923.385416666664</v>
      </c>
      <c r="E325" s="304">
        <v>36938</v>
      </c>
      <c r="F325" s="299" t="s">
        <v>344</v>
      </c>
      <c r="G325" s="306" t="s">
        <v>297</v>
      </c>
      <c r="H325" s="299">
        <v>20</v>
      </c>
      <c r="I325" s="299">
        <v>20</v>
      </c>
      <c r="J325" s="299"/>
      <c r="K325" s="321" t="s">
        <v>477</v>
      </c>
    </row>
    <row r="326" spans="1:11" ht="12.75">
      <c r="A326" s="279">
        <v>43</v>
      </c>
      <c r="B326" s="280" t="s">
        <v>349</v>
      </c>
      <c r="C326" s="299" t="s">
        <v>333</v>
      </c>
      <c r="D326" s="302">
        <v>36923.385416666664</v>
      </c>
      <c r="E326" s="304">
        <v>36938</v>
      </c>
      <c r="F326" s="299" t="s">
        <v>344</v>
      </c>
      <c r="G326" s="306" t="s">
        <v>297</v>
      </c>
      <c r="H326" s="299">
        <v>5</v>
      </c>
      <c r="I326" s="299">
        <v>5</v>
      </c>
      <c r="J326" s="299"/>
      <c r="K326" s="321" t="s">
        <v>477</v>
      </c>
    </row>
    <row r="327" spans="1:11" ht="12.75">
      <c r="A327" s="279"/>
      <c r="B327" s="280" t="s">
        <v>399</v>
      </c>
      <c r="C327" s="299" t="s">
        <v>333</v>
      </c>
      <c r="D327" s="302">
        <v>36923.385416666664</v>
      </c>
      <c r="E327" s="304">
        <v>36938</v>
      </c>
      <c r="F327" s="299" t="s">
        <v>344</v>
      </c>
      <c r="G327" s="306" t="s">
        <v>297</v>
      </c>
      <c r="H327" s="299">
        <v>5</v>
      </c>
      <c r="I327" s="299">
        <v>5</v>
      </c>
      <c r="J327" s="299"/>
      <c r="K327" s="321" t="s">
        <v>477</v>
      </c>
    </row>
    <row r="328" spans="1:11" ht="12.75">
      <c r="A328" s="279">
        <v>44</v>
      </c>
      <c r="B328" s="280" t="s">
        <v>350</v>
      </c>
      <c r="C328" s="299" t="s">
        <v>333</v>
      </c>
      <c r="D328" s="302">
        <v>36923.385416666664</v>
      </c>
      <c r="E328" s="304">
        <v>36938</v>
      </c>
      <c r="F328" s="299" t="s">
        <v>344</v>
      </c>
      <c r="G328" s="306" t="s">
        <v>297</v>
      </c>
      <c r="H328" s="299">
        <v>5</v>
      </c>
      <c r="I328" s="299">
        <v>5</v>
      </c>
      <c r="J328" s="299"/>
      <c r="K328" s="321" t="s">
        <v>477</v>
      </c>
    </row>
    <row r="329" spans="1:11" ht="12.75">
      <c r="A329" s="279"/>
      <c r="B329" s="280" t="s">
        <v>549</v>
      </c>
      <c r="C329" s="299" t="s">
        <v>333</v>
      </c>
      <c r="D329" s="302">
        <v>36923.385416666664</v>
      </c>
      <c r="E329" s="304">
        <v>36938</v>
      </c>
      <c r="F329" s="299" t="s">
        <v>344</v>
      </c>
      <c r="G329" s="306" t="s">
        <v>297</v>
      </c>
      <c r="H329" s="299">
        <v>5</v>
      </c>
      <c r="I329" s="299">
        <v>5</v>
      </c>
      <c r="J329" s="299"/>
      <c r="K329" s="321" t="s">
        <v>477</v>
      </c>
    </row>
    <row r="330" spans="1:11" ht="12.75">
      <c r="A330" s="279"/>
      <c r="B330" s="280" t="s">
        <v>550</v>
      </c>
      <c r="C330" s="299" t="s">
        <v>333</v>
      </c>
      <c r="D330" s="302">
        <v>36923.385416666664</v>
      </c>
      <c r="E330" s="304">
        <v>36938</v>
      </c>
      <c r="F330" s="299" t="s">
        <v>551</v>
      </c>
      <c r="G330" s="306">
        <v>100</v>
      </c>
      <c r="H330" s="299"/>
      <c r="I330" s="299">
        <v>1600</v>
      </c>
      <c r="J330" s="299"/>
      <c r="K330" s="321" t="s">
        <v>553</v>
      </c>
    </row>
    <row r="331" spans="1:11" ht="12.75">
      <c r="A331" s="279"/>
      <c r="B331" s="280" t="s">
        <v>554</v>
      </c>
      <c r="C331" s="299" t="s">
        <v>333</v>
      </c>
      <c r="D331" s="302">
        <v>36923.385416666664</v>
      </c>
      <c r="E331" s="329">
        <v>36931</v>
      </c>
      <c r="F331" s="299" t="s">
        <v>555</v>
      </c>
      <c r="G331" s="306" t="s">
        <v>297</v>
      </c>
      <c r="H331" s="299"/>
      <c r="I331" s="299">
        <v>2.5</v>
      </c>
      <c r="J331" s="299"/>
      <c r="K331" s="321" t="s">
        <v>556</v>
      </c>
    </row>
    <row r="332" spans="1:11" ht="12.75">
      <c r="A332" s="279"/>
      <c r="B332" s="280" t="s">
        <v>407</v>
      </c>
      <c r="C332" s="299" t="s">
        <v>333</v>
      </c>
      <c r="D332" s="302">
        <v>36923.385416666664</v>
      </c>
      <c r="E332" s="329">
        <v>36931</v>
      </c>
      <c r="F332" s="299" t="s">
        <v>555</v>
      </c>
      <c r="G332" s="306">
        <v>2.5</v>
      </c>
      <c r="H332" s="299"/>
      <c r="I332" s="299">
        <v>0.5</v>
      </c>
      <c r="J332" s="299"/>
      <c r="K332" s="321" t="s">
        <v>556</v>
      </c>
    </row>
    <row r="333" spans="1:11" ht="12.75">
      <c r="A333" s="279"/>
      <c r="B333" s="280" t="s">
        <v>557</v>
      </c>
      <c r="C333" s="299" t="s">
        <v>333</v>
      </c>
      <c r="D333" s="302">
        <v>36923.385416666664</v>
      </c>
      <c r="E333" s="329">
        <v>36931</v>
      </c>
      <c r="F333" s="299" t="s">
        <v>555</v>
      </c>
      <c r="G333" s="306" t="s">
        <v>297</v>
      </c>
      <c r="H333" s="299"/>
      <c r="I333" s="299">
        <v>0.5</v>
      </c>
      <c r="J333" s="299"/>
      <c r="K333" s="321" t="s">
        <v>556</v>
      </c>
    </row>
    <row r="334" spans="1:11" ht="12.75">
      <c r="A334" s="279"/>
      <c r="B334" s="280" t="s">
        <v>558</v>
      </c>
      <c r="C334" s="299" t="s">
        <v>333</v>
      </c>
      <c r="D334" s="302">
        <v>36923.385416666664</v>
      </c>
      <c r="E334" s="329">
        <v>36931</v>
      </c>
      <c r="F334" s="299" t="s">
        <v>555</v>
      </c>
      <c r="G334" s="306" t="s">
        <v>297</v>
      </c>
      <c r="H334" s="299"/>
      <c r="I334" s="299">
        <v>0.5</v>
      </c>
      <c r="J334" s="299"/>
      <c r="K334" s="321" t="s">
        <v>556</v>
      </c>
    </row>
    <row r="335" spans="1:11" ht="12.75">
      <c r="A335" s="279"/>
      <c r="B335" s="280" t="s">
        <v>559</v>
      </c>
      <c r="C335" s="299" t="s">
        <v>333</v>
      </c>
      <c r="D335" s="302">
        <v>36923.385416666664</v>
      </c>
      <c r="E335" s="329">
        <v>36931</v>
      </c>
      <c r="F335" s="299" t="s">
        <v>555</v>
      </c>
      <c r="G335" s="306">
        <v>27</v>
      </c>
      <c r="H335" s="299"/>
      <c r="I335" s="299">
        <v>2.5</v>
      </c>
      <c r="J335" s="299"/>
      <c r="K335" s="321" t="s">
        <v>556</v>
      </c>
    </row>
    <row r="336" spans="1:11" ht="12.75">
      <c r="A336" s="279"/>
      <c r="B336" s="280" t="s">
        <v>560</v>
      </c>
      <c r="C336" s="299" t="s">
        <v>333</v>
      </c>
      <c r="D336" s="302">
        <v>36923.385416666664</v>
      </c>
      <c r="E336" s="329">
        <v>36931</v>
      </c>
      <c r="F336" s="299" t="s">
        <v>413</v>
      </c>
      <c r="G336" s="306" t="s">
        <v>297</v>
      </c>
      <c r="H336" s="299"/>
      <c r="I336" s="299">
        <v>0.05</v>
      </c>
      <c r="J336" s="299"/>
      <c r="K336" s="321" t="s">
        <v>556</v>
      </c>
    </row>
    <row r="337" spans="1:11" ht="12.75">
      <c r="A337" s="279"/>
      <c r="B337" s="280" t="s">
        <v>561</v>
      </c>
      <c r="C337" s="299" t="s">
        <v>333</v>
      </c>
      <c r="D337" s="302">
        <v>36923.385416666664</v>
      </c>
      <c r="E337" s="329">
        <v>36931</v>
      </c>
      <c r="F337" s="299" t="s">
        <v>562</v>
      </c>
      <c r="G337" s="306" t="s">
        <v>297</v>
      </c>
      <c r="H337" s="299"/>
      <c r="I337" s="299">
        <v>0.1</v>
      </c>
      <c r="J337" s="299"/>
      <c r="K337" s="321" t="s">
        <v>556</v>
      </c>
    </row>
    <row r="338" spans="1:11" ht="12.75">
      <c r="A338" s="279"/>
      <c r="B338" s="280" t="s">
        <v>563</v>
      </c>
      <c r="C338" s="299" t="s">
        <v>333</v>
      </c>
      <c r="D338" s="302">
        <v>36923.385416666664</v>
      </c>
      <c r="E338" s="329">
        <v>36931</v>
      </c>
      <c r="F338" s="299" t="s">
        <v>564</v>
      </c>
      <c r="G338" s="306" t="s">
        <v>297</v>
      </c>
      <c r="H338" s="299"/>
      <c r="I338" s="299">
        <v>0.03</v>
      </c>
      <c r="J338" s="299"/>
      <c r="K338" s="321" t="s">
        <v>556</v>
      </c>
    </row>
    <row r="339" spans="1:11" ht="12.75">
      <c r="A339" s="279"/>
      <c r="B339" s="280" t="s">
        <v>565</v>
      </c>
      <c r="C339" s="299" t="s">
        <v>333</v>
      </c>
      <c r="D339" s="302">
        <v>36923.385416666664</v>
      </c>
      <c r="E339" s="329">
        <v>36937</v>
      </c>
      <c r="F339" s="299" t="s">
        <v>566</v>
      </c>
      <c r="G339" s="306">
        <v>0.01</v>
      </c>
      <c r="H339" s="299">
        <v>0.01</v>
      </c>
      <c r="I339" s="299">
        <v>0.05</v>
      </c>
      <c r="J339" s="299"/>
      <c r="K339" s="321" t="s">
        <v>552</v>
      </c>
    </row>
    <row r="340" spans="1:11" ht="12.75">
      <c r="A340" s="279"/>
      <c r="B340" s="280" t="s">
        <v>567</v>
      </c>
      <c r="C340" s="299" t="s">
        <v>333</v>
      </c>
      <c r="D340" s="302">
        <v>36923.385416666664</v>
      </c>
      <c r="E340" s="329">
        <v>36937</v>
      </c>
      <c r="F340" s="299" t="s">
        <v>568</v>
      </c>
      <c r="G340" s="306">
        <v>0.63</v>
      </c>
      <c r="H340" s="299">
        <v>0.1</v>
      </c>
      <c r="I340" s="299">
        <v>0.05</v>
      </c>
      <c r="J340" s="299"/>
      <c r="K340" s="321"/>
    </row>
    <row r="341" spans="1:11" ht="12.75">
      <c r="A341" s="279"/>
      <c r="B341" s="280" t="s">
        <v>569</v>
      </c>
      <c r="C341" s="299" t="s">
        <v>333</v>
      </c>
      <c r="D341" s="302">
        <v>36923.385416666664</v>
      </c>
      <c r="E341" s="329">
        <v>36934</v>
      </c>
      <c r="F341" s="299" t="s">
        <v>571</v>
      </c>
      <c r="G341" s="306" t="s">
        <v>573</v>
      </c>
      <c r="H341" s="299"/>
      <c r="I341" s="299"/>
      <c r="J341" s="299"/>
      <c r="K341" s="321"/>
    </row>
    <row r="342" spans="1:11" ht="12.75">
      <c r="A342" s="279"/>
      <c r="B342" s="280" t="s">
        <v>570</v>
      </c>
      <c r="C342" s="299" t="s">
        <v>333</v>
      </c>
      <c r="D342" s="302">
        <v>36923.385416666664</v>
      </c>
      <c r="E342" s="329">
        <v>36934</v>
      </c>
      <c r="F342" s="299" t="s">
        <v>572</v>
      </c>
      <c r="G342" s="306" t="s">
        <v>573</v>
      </c>
      <c r="H342" s="299"/>
      <c r="I342" s="299"/>
      <c r="J342" s="299"/>
      <c r="K342" s="321"/>
    </row>
    <row r="343" spans="1:11" ht="12.75">
      <c r="A343" s="279"/>
      <c r="B343" s="280" t="s">
        <v>575</v>
      </c>
      <c r="C343" s="299" t="s">
        <v>333</v>
      </c>
      <c r="D343" s="302">
        <v>36976.47222222222</v>
      </c>
      <c r="E343" s="329">
        <v>36983</v>
      </c>
      <c r="F343" s="299" t="s">
        <v>574</v>
      </c>
      <c r="G343" s="306" t="s">
        <v>297</v>
      </c>
      <c r="H343" s="299">
        <v>0.2</v>
      </c>
      <c r="I343" s="299">
        <v>0.2</v>
      </c>
      <c r="J343" s="299"/>
      <c r="K343" s="321" t="s">
        <v>477</v>
      </c>
    </row>
    <row r="344" spans="1:11" ht="12.75">
      <c r="A344" s="279"/>
      <c r="B344" s="280" t="s">
        <v>576</v>
      </c>
      <c r="C344" s="299" t="s">
        <v>333</v>
      </c>
      <c r="D344" s="302">
        <v>36976.47222222222</v>
      </c>
      <c r="E344" s="329">
        <v>36983</v>
      </c>
      <c r="F344" s="299" t="s">
        <v>574</v>
      </c>
      <c r="G344" s="306"/>
      <c r="H344" s="299">
        <v>0.2</v>
      </c>
      <c r="I344" s="299">
        <v>0.2</v>
      </c>
      <c r="J344" s="299"/>
      <c r="K344" s="321" t="s">
        <v>477</v>
      </c>
    </row>
    <row r="345" spans="1:11" ht="12.75">
      <c r="A345" s="279"/>
      <c r="B345" s="280" t="s">
        <v>577</v>
      </c>
      <c r="C345" s="299" t="s">
        <v>333</v>
      </c>
      <c r="D345" s="302">
        <v>36976.47222222222</v>
      </c>
      <c r="E345" s="329">
        <v>36983</v>
      </c>
      <c r="F345" s="299" t="s">
        <v>574</v>
      </c>
      <c r="G345" s="306"/>
      <c r="H345" s="299">
        <v>0.2</v>
      </c>
      <c r="I345" s="299">
        <v>0.2</v>
      </c>
      <c r="J345" s="299"/>
      <c r="K345" s="321" t="s">
        <v>477</v>
      </c>
    </row>
    <row r="346" spans="1:11" ht="12.75">
      <c r="A346" s="279"/>
      <c r="B346" s="280" t="s">
        <v>578</v>
      </c>
      <c r="C346" s="299" t="s">
        <v>333</v>
      </c>
      <c r="D346" s="302">
        <v>36976.47222222222</v>
      </c>
      <c r="E346" s="329">
        <v>36983</v>
      </c>
      <c r="F346" s="299" t="s">
        <v>574</v>
      </c>
      <c r="G346" s="306"/>
      <c r="H346" s="299">
        <v>0.2</v>
      </c>
      <c r="I346" s="299">
        <v>0.2</v>
      </c>
      <c r="J346" s="299"/>
      <c r="K346" s="321" t="s">
        <v>477</v>
      </c>
    </row>
    <row r="347" spans="1:11" ht="12.75">
      <c r="A347" s="279"/>
      <c r="B347" s="280" t="s">
        <v>579</v>
      </c>
      <c r="C347" s="299" t="s">
        <v>333</v>
      </c>
      <c r="D347" s="302">
        <v>36976.47222222222</v>
      </c>
      <c r="E347" s="329">
        <v>36983</v>
      </c>
      <c r="F347" s="299" t="s">
        <v>574</v>
      </c>
      <c r="G347" s="306"/>
      <c r="H347" s="299">
        <v>0.2</v>
      </c>
      <c r="I347" s="299">
        <v>0.2</v>
      </c>
      <c r="J347" s="299"/>
      <c r="K347" s="321" t="s">
        <v>477</v>
      </c>
    </row>
    <row r="348" spans="1:11" ht="12.75">
      <c r="A348" s="279"/>
      <c r="B348" s="280" t="s">
        <v>580</v>
      </c>
      <c r="C348" s="299" t="s">
        <v>333</v>
      </c>
      <c r="D348" s="302">
        <v>36976.47222222222</v>
      </c>
      <c r="E348" s="329">
        <v>36983</v>
      </c>
      <c r="F348" s="299" t="s">
        <v>574</v>
      </c>
      <c r="G348" s="306"/>
      <c r="H348" s="299">
        <v>0.2</v>
      </c>
      <c r="I348" s="299">
        <v>0.2</v>
      </c>
      <c r="J348" s="299"/>
      <c r="K348" s="321" t="s">
        <v>477</v>
      </c>
    </row>
    <row r="349" spans="1:11" ht="12.75">
      <c r="A349" s="279"/>
      <c r="B349" s="280" t="s">
        <v>581</v>
      </c>
      <c r="C349" s="299" t="s">
        <v>333</v>
      </c>
      <c r="D349" s="302">
        <v>36976.47222222222</v>
      </c>
      <c r="E349" s="329">
        <v>36983</v>
      </c>
      <c r="F349" s="299" t="s">
        <v>574</v>
      </c>
      <c r="G349" s="306"/>
      <c r="H349" s="299">
        <v>0.2</v>
      </c>
      <c r="I349" s="299">
        <v>0.2</v>
      </c>
      <c r="J349" s="299"/>
      <c r="K349" s="321" t="s">
        <v>477</v>
      </c>
    </row>
    <row r="350" spans="1:11" ht="12.75">
      <c r="A350" s="279"/>
      <c r="B350" s="280"/>
      <c r="C350" s="299"/>
      <c r="D350" s="299"/>
      <c r="E350" s="329"/>
      <c r="F350" s="299"/>
      <c r="G350" s="306"/>
      <c r="H350" s="299"/>
      <c r="I350" s="299"/>
      <c r="J350" s="299"/>
      <c r="K350" s="321"/>
    </row>
    <row r="351" spans="1:14" ht="12.75">
      <c r="A351" s="279"/>
      <c r="B351" s="280"/>
      <c r="C351" s="299"/>
      <c r="D351" s="302"/>
      <c r="E351" s="304"/>
      <c r="F351" s="304"/>
      <c r="G351" s="306"/>
      <c r="H351" s="299"/>
      <c r="I351" s="299"/>
      <c r="J351" s="299"/>
      <c r="K351" s="321"/>
      <c r="L351" s="314"/>
      <c r="M351" s="294"/>
      <c r="N351" s="297"/>
    </row>
    <row r="352" spans="1:14" ht="12.75">
      <c r="A352" s="477" t="s">
        <v>394</v>
      </c>
      <c r="B352" s="280"/>
      <c r="C352" s="299"/>
      <c r="D352" s="302"/>
      <c r="E352" s="304"/>
      <c r="F352" s="299"/>
      <c r="G352" s="306"/>
      <c r="H352" s="299"/>
      <c r="I352" s="299"/>
      <c r="J352" s="299"/>
      <c r="K352" s="321"/>
      <c r="L352" s="318"/>
      <c r="M352" s="299"/>
      <c r="N352" s="297"/>
    </row>
    <row r="353" spans="1:14" ht="12.75">
      <c r="A353" s="477" t="s">
        <v>395</v>
      </c>
      <c r="B353" s="280"/>
      <c r="C353" s="299"/>
      <c r="D353" s="302"/>
      <c r="E353" s="304"/>
      <c r="F353" s="299"/>
      <c r="G353" s="306"/>
      <c r="H353" s="299"/>
      <c r="I353" s="299"/>
      <c r="J353" s="299"/>
      <c r="K353" s="321"/>
      <c r="L353" s="318"/>
      <c r="M353" s="299"/>
      <c r="N353" s="297"/>
    </row>
    <row r="354" spans="1:14" ht="12.75">
      <c r="A354" s="477" t="s">
        <v>396</v>
      </c>
      <c r="B354" s="280"/>
      <c r="C354" s="299"/>
      <c r="D354" s="302"/>
      <c r="E354" s="304"/>
      <c r="F354" s="299"/>
      <c r="G354" s="306"/>
      <c r="H354" s="299"/>
      <c r="I354" s="299"/>
      <c r="J354" s="299"/>
      <c r="K354" s="321"/>
      <c r="L354" s="318"/>
      <c r="M354" s="299"/>
      <c r="N354" s="297"/>
    </row>
    <row r="355" spans="1:14" ht="12.75">
      <c r="A355" s="279"/>
      <c r="B355" s="280" t="s">
        <v>397</v>
      </c>
      <c r="C355" s="299" t="s">
        <v>333</v>
      </c>
      <c r="D355" s="302">
        <v>37727.475694444445</v>
      </c>
      <c r="E355" s="304">
        <v>37733</v>
      </c>
      <c r="F355" s="304" t="s">
        <v>344</v>
      </c>
      <c r="G355" s="306" t="s">
        <v>297</v>
      </c>
      <c r="H355" s="299">
        <v>0.5</v>
      </c>
      <c r="I355" s="299" t="s">
        <v>426</v>
      </c>
      <c r="J355" s="299" t="s">
        <v>304</v>
      </c>
      <c r="K355" s="321" t="s">
        <v>417</v>
      </c>
      <c r="L355" s="314"/>
      <c r="M355" s="281"/>
      <c r="N355" s="297"/>
    </row>
    <row r="356" spans="1:14" ht="12.75">
      <c r="A356" s="279"/>
      <c r="B356" s="280" t="s">
        <v>398</v>
      </c>
      <c r="C356" s="299" t="s">
        <v>333</v>
      </c>
      <c r="D356" s="302" t="s">
        <v>182</v>
      </c>
      <c r="E356" s="302" t="s">
        <v>182</v>
      </c>
      <c r="F356" s="304" t="s">
        <v>344</v>
      </c>
      <c r="G356" s="306" t="s">
        <v>182</v>
      </c>
      <c r="H356" s="299">
        <v>3</v>
      </c>
      <c r="I356" s="299">
        <v>0.5</v>
      </c>
      <c r="J356" s="299">
        <v>0.5</v>
      </c>
      <c r="K356" s="321"/>
      <c r="L356" s="320"/>
      <c r="M356" s="291"/>
      <c r="N356" s="297"/>
    </row>
    <row r="357" spans="1:14" ht="12.75">
      <c r="A357" s="279"/>
      <c r="B357" s="280" t="s">
        <v>399</v>
      </c>
      <c r="C357" s="299" t="s">
        <v>333</v>
      </c>
      <c r="D357" s="302">
        <v>37727.475694444445</v>
      </c>
      <c r="E357" s="304">
        <v>37733</v>
      </c>
      <c r="F357" s="304" t="s">
        <v>344</v>
      </c>
      <c r="G357" s="306" t="s">
        <v>297</v>
      </c>
      <c r="H357" s="299">
        <v>5</v>
      </c>
      <c r="I357" s="299" t="s">
        <v>427</v>
      </c>
      <c r="J357" s="299" t="s">
        <v>304</v>
      </c>
      <c r="K357" s="321" t="s">
        <v>417</v>
      </c>
      <c r="L357" s="314"/>
      <c r="M357" s="281"/>
      <c r="N357" s="297"/>
    </row>
    <row r="358" spans="1:14" ht="12.75">
      <c r="A358" s="279"/>
      <c r="B358" s="280" t="s">
        <v>400</v>
      </c>
      <c r="C358" s="299" t="s">
        <v>333</v>
      </c>
      <c r="D358" s="302" t="s">
        <v>182</v>
      </c>
      <c r="E358" s="302" t="s">
        <v>182</v>
      </c>
      <c r="F358" s="304" t="s">
        <v>344</v>
      </c>
      <c r="G358" s="306" t="s">
        <v>182</v>
      </c>
      <c r="H358" s="299">
        <v>10</v>
      </c>
      <c r="I358" s="299" t="s">
        <v>426</v>
      </c>
      <c r="J358" s="299" t="s">
        <v>304</v>
      </c>
      <c r="K358" s="321" t="s">
        <v>417</v>
      </c>
      <c r="L358" s="314"/>
      <c r="M358" s="281"/>
      <c r="N358" s="297"/>
    </row>
    <row r="359" spans="1:14" ht="12.75">
      <c r="A359" s="279"/>
      <c r="B359" s="280" t="s">
        <v>401</v>
      </c>
      <c r="C359" s="299" t="s">
        <v>333</v>
      </c>
      <c r="D359" s="302">
        <v>37727.475694444445</v>
      </c>
      <c r="E359" s="304">
        <v>37733</v>
      </c>
      <c r="F359" s="304" t="s">
        <v>344</v>
      </c>
      <c r="G359" s="306" t="s">
        <v>297</v>
      </c>
      <c r="H359" s="299">
        <v>0.5</v>
      </c>
      <c r="I359" s="299" t="s">
        <v>428</v>
      </c>
      <c r="J359" s="299" t="s">
        <v>304</v>
      </c>
      <c r="K359" s="321" t="s">
        <v>417</v>
      </c>
      <c r="L359" s="314"/>
      <c r="M359" s="281"/>
      <c r="N359" s="297"/>
    </row>
    <row r="360" spans="1:14" ht="12.75">
      <c r="A360" s="279"/>
      <c r="B360" s="280" t="s">
        <v>402</v>
      </c>
      <c r="C360" s="299" t="s">
        <v>333</v>
      </c>
      <c r="D360" s="302">
        <v>37727.475694444445</v>
      </c>
      <c r="E360" s="304">
        <v>37733</v>
      </c>
      <c r="F360" s="304" t="s">
        <v>344</v>
      </c>
      <c r="G360" s="306" t="s">
        <v>297</v>
      </c>
      <c r="H360" s="299">
        <v>0.5</v>
      </c>
      <c r="I360" s="299">
        <v>0.21</v>
      </c>
      <c r="J360" s="299">
        <v>0.5</v>
      </c>
      <c r="K360" s="321" t="s">
        <v>417</v>
      </c>
      <c r="L360" s="320"/>
      <c r="M360" s="291"/>
      <c r="N360" s="297"/>
    </row>
    <row r="361" spans="1:14" ht="12.75">
      <c r="A361" s="279"/>
      <c r="B361" s="280"/>
      <c r="C361" s="299"/>
      <c r="D361" s="302"/>
      <c r="E361" s="304"/>
      <c r="F361" s="299"/>
      <c r="G361" s="306"/>
      <c r="H361" s="299"/>
      <c r="I361" s="299"/>
      <c r="J361" s="299"/>
      <c r="K361" s="321"/>
      <c r="L361" s="318"/>
      <c r="M361" s="299"/>
      <c r="N361" s="297"/>
    </row>
    <row r="362" spans="1:14" ht="12.75">
      <c r="A362" s="279"/>
      <c r="B362" s="295" t="s">
        <v>403</v>
      </c>
      <c r="C362" s="299" t="s">
        <v>333</v>
      </c>
      <c r="D362" s="302" t="s">
        <v>182</v>
      </c>
      <c r="E362" s="302" t="s">
        <v>182</v>
      </c>
      <c r="F362" s="304" t="s">
        <v>351</v>
      </c>
      <c r="G362" s="306" t="s">
        <v>182</v>
      </c>
      <c r="H362" s="299">
        <v>1</v>
      </c>
      <c r="I362" s="299">
        <v>0.5</v>
      </c>
      <c r="J362" s="299">
        <v>1</v>
      </c>
      <c r="K362" s="321" t="s">
        <v>417</v>
      </c>
      <c r="L362" s="320"/>
      <c r="M362" s="292"/>
      <c r="N362" s="297"/>
    </row>
    <row r="363" spans="1:14" ht="12.75">
      <c r="A363" s="279"/>
      <c r="B363" s="280" t="s">
        <v>404</v>
      </c>
      <c r="C363" s="299" t="s">
        <v>333</v>
      </c>
      <c r="D363" s="302" t="s">
        <v>182</v>
      </c>
      <c r="E363" s="302" t="s">
        <v>182</v>
      </c>
      <c r="F363" s="304" t="s">
        <v>351</v>
      </c>
      <c r="G363" s="306" t="s">
        <v>182</v>
      </c>
      <c r="H363" s="299">
        <v>5</v>
      </c>
      <c r="I363" s="299">
        <v>1</v>
      </c>
      <c r="J363" s="299">
        <v>5</v>
      </c>
      <c r="K363" s="321" t="s">
        <v>417</v>
      </c>
      <c r="L363" s="319"/>
      <c r="M363" s="296"/>
      <c r="N363" s="297"/>
    </row>
    <row r="364" spans="1:14" ht="12.75">
      <c r="A364" s="279"/>
      <c r="B364" s="280"/>
      <c r="C364" s="299"/>
      <c r="D364" s="302"/>
      <c r="E364" s="304"/>
      <c r="F364" s="299"/>
      <c r="G364" s="306"/>
      <c r="H364" s="299"/>
      <c r="I364" s="299"/>
      <c r="J364" s="299"/>
      <c r="K364" s="321"/>
      <c r="L364" s="318"/>
      <c r="M364" s="299"/>
      <c r="N364" s="297"/>
    </row>
    <row r="365" spans="1:14" ht="12.75">
      <c r="A365" s="301"/>
      <c r="B365" s="280" t="s">
        <v>405</v>
      </c>
      <c r="C365" s="299" t="s">
        <v>333</v>
      </c>
      <c r="D365" s="303" t="s">
        <v>182</v>
      </c>
      <c r="E365" s="303" t="s">
        <v>182</v>
      </c>
      <c r="F365" s="304" t="s">
        <v>414</v>
      </c>
      <c r="G365" s="306" t="s">
        <v>182</v>
      </c>
      <c r="H365" s="299">
        <v>0.05</v>
      </c>
      <c r="I365" s="299" t="s">
        <v>429</v>
      </c>
      <c r="J365" s="299" t="s">
        <v>430</v>
      </c>
      <c r="K365" s="321" t="s">
        <v>334</v>
      </c>
      <c r="L365" s="314"/>
      <c r="M365" s="281"/>
      <c r="N365" s="297"/>
    </row>
    <row r="366" spans="1:14" ht="12.75">
      <c r="A366" s="279"/>
      <c r="B366" s="280" t="s">
        <v>406</v>
      </c>
      <c r="C366" s="299" t="s">
        <v>333</v>
      </c>
      <c r="D366" s="303" t="s">
        <v>182</v>
      </c>
      <c r="E366" s="303" t="s">
        <v>182</v>
      </c>
      <c r="F366" s="304" t="s">
        <v>412</v>
      </c>
      <c r="G366" s="306" t="s">
        <v>182</v>
      </c>
      <c r="H366" s="299">
        <v>0.1</v>
      </c>
      <c r="I366" s="299" t="s">
        <v>431</v>
      </c>
      <c r="J366" s="299" t="s">
        <v>416</v>
      </c>
      <c r="K366" s="321" t="s">
        <v>334</v>
      </c>
      <c r="L366" s="314"/>
      <c r="M366" s="281"/>
      <c r="N366" s="297"/>
    </row>
    <row r="367" spans="1:14" ht="12.75">
      <c r="A367" s="279"/>
      <c r="B367" s="280" t="s">
        <v>407</v>
      </c>
      <c r="C367" s="299" t="s">
        <v>333</v>
      </c>
      <c r="D367" s="303" t="s">
        <v>182</v>
      </c>
      <c r="E367" s="303" t="s">
        <v>182</v>
      </c>
      <c r="F367" s="304" t="s">
        <v>415</v>
      </c>
      <c r="G367" s="306" t="s">
        <v>182</v>
      </c>
      <c r="H367" s="299">
        <v>0.1</v>
      </c>
      <c r="I367" s="299" t="s">
        <v>432</v>
      </c>
      <c r="J367" s="299" t="s">
        <v>433</v>
      </c>
      <c r="K367" s="321" t="s">
        <v>334</v>
      </c>
      <c r="L367" s="314"/>
      <c r="M367" s="281"/>
      <c r="N367" s="297"/>
    </row>
    <row r="368" spans="1:14" ht="12.75">
      <c r="A368" s="279"/>
      <c r="B368" s="280" t="s">
        <v>408</v>
      </c>
      <c r="C368" s="299" t="s">
        <v>333</v>
      </c>
      <c r="D368" s="303" t="s">
        <v>182</v>
      </c>
      <c r="E368" s="303" t="s">
        <v>182</v>
      </c>
      <c r="F368" s="304" t="s">
        <v>414</v>
      </c>
      <c r="G368" s="306" t="s">
        <v>182</v>
      </c>
      <c r="H368" s="299">
        <v>0.1</v>
      </c>
      <c r="I368" s="299" t="s">
        <v>434</v>
      </c>
      <c r="J368" s="299" t="s">
        <v>430</v>
      </c>
      <c r="K368" s="321" t="s">
        <v>334</v>
      </c>
      <c r="L368" s="314"/>
      <c r="M368" s="281"/>
      <c r="N368" s="297"/>
    </row>
    <row r="369" spans="1:14" ht="12.75">
      <c r="A369" s="279"/>
      <c r="B369" s="280" t="s">
        <v>409</v>
      </c>
      <c r="C369" s="299" t="s">
        <v>333</v>
      </c>
      <c r="D369" s="303" t="s">
        <v>182</v>
      </c>
      <c r="E369" s="303" t="s">
        <v>182</v>
      </c>
      <c r="F369" s="304" t="s">
        <v>414</v>
      </c>
      <c r="G369" s="306" t="s">
        <v>182</v>
      </c>
      <c r="H369" s="299">
        <v>0.02</v>
      </c>
      <c r="I369" s="299" t="s">
        <v>435</v>
      </c>
      <c r="J369" s="299" t="s">
        <v>436</v>
      </c>
      <c r="K369" s="321" t="s">
        <v>334</v>
      </c>
      <c r="L369" s="317"/>
      <c r="M369" s="284"/>
      <c r="N369" s="297"/>
    </row>
    <row r="370" spans="1:14" ht="12.75">
      <c r="A370" s="279"/>
      <c r="B370" s="283" t="s">
        <v>231</v>
      </c>
      <c r="C370" s="299" t="s">
        <v>333</v>
      </c>
      <c r="D370" s="303" t="s">
        <v>182</v>
      </c>
      <c r="E370" s="303" t="s">
        <v>182</v>
      </c>
      <c r="F370" s="304" t="s">
        <v>410</v>
      </c>
      <c r="G370" s="306" t="s">
        <v>182</v>
      </c>
      <c r="H370" s="299">
        <v>0.06</v>
      </c>
      <c r="I370" s="299"/>
      <c r="J370" s="299">
        <v>0.005</v>
      </c>
      <c r="K370" s="321" t="s">
        <v>417</v>
      </c>
      <c r="L370" s="317"/>
      <c r="M370" s="285"/>
      <c r="N370" s="297"/>
    </row>
    <row r="371" spans="1:14" ht="12.75">
      <c r="A371" s="279"/>
      <c r="B371" s="280"/>
      <c r="C371" s="299"/>
      <c r="D371" s="302"/>
      <c r="E371" s="304"/>
      <c r="F371" s="299"/>
      <c r="G371" s="306"/>
      <c r="H371" s="299"/>
      <c r="I371" s="299"/>
      <c r="J371" s="299"/>
      <c r="K371" s="321"/>
      <c r="L371" s="318"/>
      <c r="M371" s="299"/>
      <c r="N371" s="297"/>
    </row>
    <row r="372" spans="1:14" ht="12.75">
      <c r="A372" s="330"/>
      <c r="B372" s="331" t="s">
        <v>411</v>
      </c>
      <c r="C372" s="332">
        <f>C371</f>
        <v>0</v>
      </c>
      <c r="D372" s="333">
        <f>D371</f>
        <v>0</v>
      </c>
      <c r="E372" s="334">
        <f>E371</f>
        <v>0</v>
      </c>
      <c r="F372" s="335">
        <f>F371</f>
        <v>0</v>
      </c>
      <c r="G372" s="336">
        <v>0</v>
      </c>
      <c r="H372" s="332">
        <v>10</v>
      </c>
      <c r="I372" s="332">
        <v>0.005</v>
      </c>
      <c r="J372" s="332">
        <v>0.01</v>
      </c>
      <c r="K372" s="337" t="s">
        <v>417</v>
      </c>
      <c r="L372" s="320"/>
      <c r="M372" s="293"/>
      <c r="N372" s="297"/>
    </row>
  </sheetData>
  <printOptions/>
  <pageMargins left="0.75" right="0.75" top="1" bottom="1" header="0.25" footer="0.5"/>
  <pageSetup horizontalDpi="600" verticalDpi="600" orientation="portrait" scale="67" r:id="rId1"/>
  <headerFooter alignWithMargins="0">
    <oddHeader>&amp;C&amp;16Attachment 3
Effluent Data&amp;R&amp;16Kobe Precision
Hayward, CA
NPDES Permit</oddHeader>
    <oddFooter>&amp;C&amp;12Page &amp;P of &amp;N&amp;R&amp;12&amp;F &amp; 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Indra N. Mitra</dc:creator>
  <cp:keywords/>
  <dc:description/>
  <cp:lastModifiedBy>dleva</cp:lastModifiedBy>
  <cp:lastPrinted>2005-08-29T02:59:31Z</cp:lastPrinted>
  <dcterms:created xsi:type="dcterms:W3CDTF">2002-04-16T15:45:56Z</dcterms:created>
  <dcterms:modified xsi:type="dcterms:W3CDTF">2005-08-29T03:00:25Z</dcterms:modified>
  <cp:category/>
  <cp:version/>
  <cp:contentType/>
  <cp:contentStatus/>
</cp:coreProperties>
</file>