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15" windowWidth="11925" windowHeight="8640" tabRatio="601" activeTab="4"/>
  </bookViews>
  <sheets>
    <sheet name="Criteria" sheetId="1" r:id="rId1"/>
    <sheet name="data input for RPA" sheetId="2" r:id="rId2"/>
    <sheet name="CV Calculator" sheetId="3" r:id="rId3"/>
    <sheet name="RPA" sheetId="4" r:id="rId4"/>
    <sheet name="WQBELs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'[2]DGEF0696'!#REF!</definedName>
    <definedName name="\b">'[3]DIG1095'!#REF!</definedName>
    <definedName name="\c">'[2]DGEF0696'!#REF!</definedName>
    <definedName name="\d">'[2]DGEF0696'!#REF!</definedName>
    <definedName name="\e">'[2]DGEF0696'!#REF!</definedName>
    <definedName name="\f">'[1]Metals'!#REF!</definedName>
    <definedName name="\g">#REF!</definedName>
    <definedName name="\i">'[2]DGEF0696'!#REF!</definedName>
    <definedName name="\p">#REF!</definedName>
    <definedName name="\s">#N/A</definedName>
    <definedName name="\w">'[2]DGEF0696'!#REF!</definedName>
    <definedName name="\y">'[4]BACT1295'!$A$43</definedName>
    <definedName name="\z">#REF!</definedName>
    <definedName name="AAMACRO">'[2]DGEF0696'!#REF!</definedName>
    <definedName name="ABMACRO">'[2]DGEF0696'!#REF!</definedName>
    <definedName name="BIOCALC">#REF!</definedName>
    <definedName name="COLIFORM">'[4]BACT1295'!$J$9</definedName>
    <definedName name="DAY">'[2]DGEF0696'!#REF!</definedName>
    <definedName name="_xlnm.Print_Area" localSheetId="0">'Criteria'!$AI$8:$AP$19</definedName>
    <definedName name="_xlnm.Print_Area" localSheetId="3">'RPA'!$S$1:$V$128</definedName>
    <definedName name="Print_Area_MI">#REF!</definedName>
    <definedName name="_xlnm.Print_Titles" localSheetId="0">'Criteria'!$7:$10</definedName>
    <definedName name="_xlnm.Print_Titles" localSheetId="1">'data input for RPA'!$5:$7</definedName>
    <definedName name="_xlnm.Print_Titles" localSheetId="3">'RPA'!$A:$B,'RPA'!$1:$3</definedName>
    <definedName name="_xlnm.Print_Titles" localSheetId="4">'WQBELs'!$A:$B,'WQBELs'!$8:$10</definedName>
    <definedName name="TIME">'[4]BACT1295'!$B$9</definedName>
  </definedNames>
  <calcPr fullCalcOnLoad="1"/>
</workbook>
</file>

<file path=xl/comments1.xml><?xml version="1.0" encoding="utf-8"?>
<comments xmlns="http://schemas.openxmlformats.org/spreadsheetml/2006/main">
  <authors>
    <author>Dr. Indra N. Mitra</author>
    <author>laducan</author>
    <author>Ken Katen</author>
  </authors>
  <commentList>
    <comment ref="B1" authorId="0">
      <text>
        <r>
          <rPr>
            <sz val="8"/>
            <rFont val="Tahoma"/>
            <family val="2"/>
          </rPr>
          <t>RB2: BP criteria selected for As, Cd, Cr, Pb, Hg, Ni, Se, Ag, Zn, and CN - for waters in the region except for South Bay below Dumbarton Bridge.</t>
        </r>
        <r>
          <rPr>
            <sz val="8"/>
            <rFont val="Tahoma"/>
            <family val="0"/>
          </rPr>
          <t xml:space="preserve">
</t>
        </r>
      </text>
    </comment>
    <comment ref="W8" authorId="0">
      <text>
        <r>
          <rPr>
            <b/>
            <sz val="8"/>
            <rFont val="Tahoma"/>
            <family val="0"/>
          </rPr>
          <t xml:space="preserve">Table 1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AA8" authorId="0">
      <text>
        <r>
          <rPr>
            <b/>
            <sz val="8"/>
            <rFont val="Tahoma"/>
            <family val="0"/>
          </rPr>
          <t xml:space="preserve">Table 2 of paragraph b(2) - page 31717 of CTR 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sz val="8"/>
            <rFont val="Tahoma"/>
            <family val="2"/>
          </rPr>
          <t>select BP criteria for RB2
except for So. Bay below Dumbarton Bridge</t>
        </r>
      </text>
    </comment>
    <comment ref="B14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14" authorId="0">
      <text>
        <r>
          <rPr>
            <sz val="8"/>
            <rFont val="Tahoma"/>
            <family val="2"/>
          </rPr>
          <t>see footnote 'e' in BP, Table 3-4</t>
        </r>
      </text>
    </comment>
    <comment ref="J14" authorId="0">
      <text>
        <r>
          <rPr>
            <sz val="8"/>
            <rFont val="Tahoma"/>
            <family val="2"/>
          </rPr>
          <t>see footnote 'e' in BP, Table 3-4</t>
        </r>
        <r>
          <rPr>
            <sz val="8"/>
            <rFont val="Tahoma"/>
            <family val="0"/>
          </rPr>
          <t xml:space="preserve">
</t>
        </r>
      </text>
    </comment>
    <comment ref="Q1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1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S14" authorId="1">
      <text>
        <r>
          <rPr>
            <sz val="8"/>
            <rFont val="Tahoma"/>
            <family val="0"/>
          </rPr>
          <t>These reflect the values in the CTR, not the revised Cd criteria published in April 2000.</t>
        </r>
      </text>
    </comment>
    <comment ref="W14" authorId="1">
      <text>
        <r>
          <rPr>
            <sz val="8"/>
            <rFont val="Tahoma"/>
            <family val="0"/>
          </rPr>
          <t>These reflect the values in the CTR, not the revised Cd criteria/factors published in April 2000.</t>
        </r>
      </text>
    </comment>
    <comment ref="AA14" authorId="0">
      <text>
        <r>
          <rPr>
            <sz val="8"/>
            <rFont val="Tahoma"/>
            <family val="2"/>
          </rPr>
          <t>used eq in Table 3 of paragraph (b)(2)- page 31717 of CTR</t>
        </r>
        <r>
          <rPr>
            <sz val="8"/>
            <rFont val="Tahoma"/>
            <family val="0"/>
          </rPr>
          <t xml:space="preserve">
</t>
        </r>
      </text>
    </comment>
    <comment ref="AB14" authorId="0">
      <text>
        <r>
          <rPr>
            <sz val="8"/>
            <rFont val="Tahoma"/>
            <family val="2"/>
          </rPr>
          <t>used eq in Table 3 of paragraph (b)(2)- page 31717 of CTR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15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sz val="8"/>
            <rFont val="Tahoma"/>
            <family val="2"/>
          </rPr>
          <t>select BP criteria for RB2 except for So. Bay below Dumbarton Bridge</t>
        </r>
      </text>
    </comment>
    <comment ref="I17" authorId="0">
      <text>
        <r>
          <rPr>
            <sz val="8"/>
            <rFont val="Tahoma"/>
            <family val="2"/>
          </rPr>
          <t>see footnote 'g' in BP, Table 3-4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8"/>
            <rFont val="Tahoma"/>
            <family val="2"/>
          </rPr>
          <t>see footnote 'g' in BP, Table 3-4</t>
        </r>
        <r>
          <rPr>
            <sz val="8"/>
            <rFont val="Tahoma"/>
            <family val="0"/>
          </rPr>
          <t xml:space="preserve">
</t>
        </r>
      </text>
    </comment>
    <comment ref="Q17" authorId="0">
      <text>
        <r>
          <rPr>
            <sz val="8"/>
            <rFont val="Tahoma"/>
            <family val="2"/>
          </rPr>
          <t xml:space="preserve">used eq in paragraph b(2) - page 31717 of CTR
</t>
        </r>
      </text>
    </comment>
    <comment ref="R17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18" authorId="0">
      <text>
        <r>
          <rPr>
            <sz val="8"/>
            <rFont val="Tahoma"/>
            <family val="2"/>
          </rPr>
          <t>see footnote 'h' in BP, Table 3-4</t>
        </r>
      </text>
    </comment>
    <comment ref="J18" authorId="0">
      <text>
        <r>
          <rPr>
            <sz val="8"/>
            <rFont val="Tahoma"/>
            <family val="2"/>
          </rPr>
          <t>see footnote 'h' in BP, Table 3-4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18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AA18" authorId="0">
      <text>
        <r>
          <rPr>
            <sz val="8"/>
            <rFont val="Tahoma"/>
            <family val="2"/>
          </rPr>
          <t>used eq in Table 3 of paragraph (b)(2)- page 31717 of CTR</t>
        </r>
      </text>
    </comment>
    <comment ref="AB18" authorId="0">
      <text>
        <r>
          <rPr>
            <sz val="8"/>
            <rFont val="Tahoma"/>
            <family val="2"/>
          </rPr>
          <t>used eq in Table 3 of paragraph (b)(2)- page 31717 of CTR</t>
        </r>
      </text>
    </comment>
    <comment ref="B19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19" authorId="1">
      <text>
        <r>
          <rPr>
            <sz val="8"/>
            <rFont val="Tahoma"/>
            <family val="2"/>
          </rPr>
          <t>although 0.012 is desirable, compliance can only be met at 0.025 det. Limit. See BP footnote for details. Table 3-4.</t>
        </r>
      </text>
    </comment>
    <comment ref="B20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Q20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20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Q21" authorId="0">
      <text>
        <r>
          <rPr>
            <sz val="8"/>
            <rFont val="Tahoma"/>
            <family val="2"/>
          </rPr>
          <t>see footnote 'p'</t>
        </r>
        <r>
          <rPr>
            <sz val="8"/>
            <rFont val="Tahoma"/>
            <family val="0"/>
          </rPr>
          <t xml:space="preserve">
</t>
        </r>
      </text>
    </comment>
    <comment ref="S21" authorId="1">
      <text>
        <r>
          <rPr>
            <sz val="8"/>
            <rFont val="Tahoma"/>
            <family val="2"/>
          </rPr>
          <t>Refer to CTR, footnotes p and q, for explanation.  NTR values apply to Suisun Bay, both freshwater and saltwater values.</t>
        </r>
      </text>
    </comment>
    <comment ref="T21" authorId="1">
      <text>
        <r>
          <rPr>
            <sz val="8"/>
            <rFont val="Tahoma"/>
            <family val="0"/>
          </rPr>
          <t xml:space="preserve">Refer to CTR, footnotes p and q, for explanation.  NTR values apply to Suisun Bay, both freshwater and saltwater values.
</t>
        </r>
      </text>
    </comment>
    <comment ref="B22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L22" authorId="0">
      <text>
        <r>
          <rPr>
            <sz val="8"/>
            <rFont val="Tahoma"/>
            <family val="2"/>
          </rPr>
          <t>see footnote 'k' in BP, Table 3-4</t>
        </r>
        <r>
          <rPr>
            <sz val="8"/>
            <rFont val="Tahoma"/>
            <family val="0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0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sz val="8"/>
            <rFont val="Tahoma"/>
            <family val="0"/>
          </rPr>
          <t xml:space="preserve">select BP criteria for RB2
except for So. Bay below Dumbarton Bridge
</t>
        </r>
      </text>
    </comment>
    <comment ref="I24" authorId="0">
      <text>
        <r>
          <rPr>
            <sz val="8"/>
            <rFont val="Tahoma"/>
            <family val="2"/>
          </rPr>
          <t>see footnote 'j'in BP, Table 3-4</t>
        </r>
        <r>
          <rPr>
            <sz val="8"/>
            <rFont val="Tahoma"/>
            <family val="0"/>
          </rPr>
          <t xml:space="preserve">
5/1/02 Formula corrected per BP Amendments 2/1997.
</t>
        </r>
      </text>
    </comment>
    <comment ref="J24" authorId="0">
      <text>
        <r>
          <rPr>
            <sz val="8"/>
            <rFont val="Tahoma"/>
            <family val="2"/>
          </rPr>
          <t>see footnote 'g'in BP, Table 3-4</t>
        </r>
        <r>
          <rPr>
            <sz val="8"/>
            <rFont val="Tahoma"/>
            <family val="0"/>
          </rPr>
          <t xml:space="preserve">
5/1/02 Formula corrected per BP Amendments 2/1997.
</t>
        </r>
      </text>
    </comment>
    <comment ref="Q2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R24" authorId="0">
      <text>
        <r>
          <rPr>
            <sz val="8"/>
            <rFont val="Tahoma"/>
            <family val="2"/>
          </rPr>
          <t>used eq in paragraph b(2) - page 31717 of CTR</t>
        </r>
        <r>
          <rPr>
            <sz val="8"/>
            <rFont val="Tahoma"/>
            <family val="0"/>
          </rPr>
          <t xml:space="preserve">
</t>
        </r>
      </text>
    </comment>
    <comment ref="Q65" authorId="0">
      <text>
        <r>
          <rPr>
            <sz val="8"/>
            <rFont val="Tahoma"/>
            <family val="2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R65" authorId="0">
      <text>
        <r>
          <rPr>
            <sz val="8"/>
            <rFont val="Tahoma"/>
            <family val="2"/>
          </rPr>
          <t xml:space="preserve">see footnote 'f' </t>
        </r>
        <r>
          <rPr>
            <sz val="8"/>
            <rFont val="Tahoma"/>
            <family val="0"/>
          </rPr>
          <t xml:space="preserve">
</t>
        </r>
      </text>
    </comment>
    <comment ref="M133" authorId="1">
      <text>
        <r>
          <rPr>
            <sz val="8"/>
            <rFont val="Tahoma"/>
            <family val="0"/>
          </rPr>
          <t xml:space="preserve">It is an EPA revised criteria (sw). For details, see email from RB2 (LR).
</t>
        </r>
      </text>
    </comment>
    <comment ref="AC17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  <comment ref="AD17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  <comment ref="AC20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  <comment ref="AD20" authorId="2">
      <text>
        <r>
          <rPr>
            <b/>
            <sz val="9"/>
            <rFont val="Geneva"/>
            <family val="0"/>
          </rPr>
          <t>Ken Katen:</t>
        </r>
        <r>
          <rPr>
            <sz val="9"/>
            <rFont val="Geneva"/>
            <family val="0"/>
          </rPr>
          <t xml:space="preserve">
From revised translator data, LWA, 7-19-04.</t>
        </r>
      </text>
    </comment>
  </commentList>
</comments>
</file>

<file path=xl/comments2.xml><?xml version="1.0" encoding="utf-8"?>
<comments xmlns="http://schemas.openxmlformats.org/spreadsheetml/2006/main">
  <authors>
    <author>Dr. Indra N. Mitra</author>
    <author>Ken Katen</author>
  </authors>
  <commentList>
    <comment ref="D6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F6" authorId="0">
      <text>
        <r>
          <rPr>
            <sz val="8"/>
            <rFont val="Tahoma"/>
            <family val="0"/>
          </rPr>
          <t xml:space="preserve">
Enter data only if there is 'N' in 2nd column to the left and 'Y' in 3rd column to the left</t>
        </r>
      </text>
    </comment>
    <comment ref="J6" authorId="0">
      <text>
        <r>
          <rPr>
            <b/>
            <sz val="8"/>
            <rFont val="Tahoma"/>
            <family val="0"/>
          </rPr>
          <t>Enter data if it is an "Y" in the 1st column to the left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sz val="8"/>
            <rFont val="Tahoma"/>
            <family val="0"/>
          </rPr>
          <t xml:space="preserve">
Enter data only if there is an 'Y' in 1st column to the left</t>
        </r>
      </text>
    </comment>
    <comment ref="F28" authorId="1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Based on 4/1/03, Ignacio ND, Novato 3.91.
</t>
        </r>
      </text>
    </comment>
    <comment ref="F31" authorId="1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Based on 4/1/03, Ignacio ND, Novato 7.3.</t>
        </r>
      </text>
    </comment>
    <comment ref="L7" authorId="1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Taken from 1993-2001 RMP data as downloaded from SFEI. See worksheet in folder.</t>
        </r>
      </text>
    </comment>
  </commentList>
</comments>
</file>

<file path=xl/comments4.xml><?xml version="1.0" encoding="utf-8"?>
<comments xmlns="http://schemas.openxmlformats.org/spreadsheetml/2006/main">
  <authors>
    <author>Ken Katen</author>
  </authors>
  <commentList>
    <comment ref="W11" authorId="0">
      <text>
        <r>
          <rPr>
            <b/>
            <sz val="9"/>
            <rFont val="Tahoma"/>
            <family val="0"/>
          </rPr>
          <t>Ken Katen:</t>
        </r>
        <r>
          <rPr>
            <sz val="9"/>
            <rFont val="Tahoma"/>
            <family val="0"/>
          </rPr>
          <t xml:space="preserve">
Applies to this permit only per Richard Looker. Future shallow water discharger translators to be worked out through regionwide policy decisions if possible.</t>
        </r>
      </text>
    </comment>
  </commentList>
</comments>
</file>

<file path=xl/sharedStrings.xml><?xml version="1.0" encoding="utf-8"?>
<sst xmlns="http://schemas.openxmlformats.org/spreadsheetml/2006/main" count="1158" uniqueCount="377">
  <si>
    <t>1,1-Dichloroethane</t>
  </si>
  <si>
    <t>1,2-Dichloroethane</t>
  </si>
  <si>
    <t>1,1-Dichloroethylene</t>
  </si>
  <si>
    <t>1,2-Dichloropropane</t>
  </si>
  <si>
    <t>1,3-Dichloropropylene</t>
  </si>
  <si>
    <t>Ethylbenzene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</si>
  <si>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</si>
  <si>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</si>
  <si>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</si>
  <si>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</si>
  <si>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</si>
  <si>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</si>
  <si>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</si>
  <si>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</si>
  <si>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</si>
  <si>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</si>
  <si>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</si>
  <si>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Chlorophenol</t>
  </si>
  <si>
    <t>2,4-Dichlorophenol</t>
  </si>
  <si>
    <t>2,4-Dimethylphenol</t>
  </si>
  <si>
    <t>Toxaphene</t>
  </si>
  <si>
    <t>Tributyltin</t>
  </si>
  <si>
    <t>Notes:</t>
  </si>
  <si>
    <t>(2)</t>
  </si>
  <si>
    <t xml:space="preserve">PCBs sum refers to sum of PCB 1016, 1221, 1232, 1242, 1248, 1254, and 1260 </t>
  </si>
  <si>
    <t>Saltwater                      (from Table 3-3)</t>
  </si>
  <si>
    <t>Inst. Max</t>
  </si>
  <si>
    <t>Green highlight checks for input inconsistency (see "input check" spreadsheet for logic)</t>
  </si>
  <si>
    <t>Yellow highlights are user input</t>
  </si>
  <si>
    <t>EFFLUENT  DATA</t>
  </si>
  <si>
    <t>BACKGROUND  DATA (B)</t>
  </si>
  <si>
    <t xml:space="preserve">Constituent name </t>
  </si>
  <si>
    <t>Effluent Data Available (Y/N)?</t>
  </si>
  <si>
    <t>Are all data points non-detects (Y/N)?</t>
  </si>
  <si>
    <t>Total</t>
  </si>
  <si>
    <t>Can be met as total Cr.</t>
  </si>
  <si>
    <t>Is it a RB2 facility (Y/N)?</t>
  </si>
  <si>
    <t>Y</t>
  </si>
  <si>
    <t>Hardness (mg/L CaCO3)</t>
  </si>
  <si>
    <t>For Cd, Cr(III), Cu, Pb, Ni, Ag, Zn - not applicable to Se</t>
  </si>
  <si>
    <t>pH (s.u.)</t>
  </si>
  <si>
    <t>Note: DO NOT enter any value for the column that is NOT applicable</t>
  </si>
  <si>
    <t>Note: Numbers in blue have formula in the cells - calculates values automatically</t>
  </si>
  <si>
    <r>
      <t xml:space="preserve">Lowest (most stringent) Criteria </t>
    </r>
    <r>
      <rPr>
        <i/>
        <vertAlign val="superscript"/>
        <sz val="10"/>
        <rFont val="Arial"/>
        <family val="2"/>
      </rPr>
      <t>e</t>
    </r>
  </si>
  <si>
    <t>Basin Plan Objectives (ug/L)- Regional Board 2</t>
  </si>
  <si>
    <t>CTR Water Quality Criteria (ug/L)</t>
  </si>
  <si>
    <t>from Table 4-3</t>
  </si>
  <si>
    <t>Freshwater                       (from Table 3-4)</t>
  </si>
  <si>
    <t>Freshwater</t>
  </si>
  <si>
    <t>Saltwater</t>
  </si>
  <si>
    <t>Human Health for consumption of:</t>
  </si>
  <si>
    <t>Factors for Metals Freshwater Criteria Calculation</t>
  </si>
  <si>
    <t xml:space="preserve">Conversion Factor (CF) </t>
  </si>
  <si>
    <t>Site-Specific Translators</t>
  </si>
  <si>
    <t># in CTR</t>
  </si>
  <si>
    <t>PRIORITY POLLUTANTS</t>
  </si>
  <si>
    <t>Shallow Water</t>
  </si>
  <si>
    <t>Deep Water (24-hr)</t>
  </si>
  <si>
    <r>
      <t xml:space="preserve">4-day </t>
    </r>
    <r>
      <rPr>
        <sz val="8"/>
        <rFont val="Arial"/>
        <family val="2"/>
      </rPr>
      <t xml:space="preserve"> </t>
    </r>
  </si>
  <si>
    <t>1-hr</t>
  </si>
  <si>
    <t>24-hr</t>
  </si>
  <si>
    <t>4-day</t>
  </si>
  <si>
    <t>CMC (acute)</t>
  </si>
  <si>
    <t>CCC (chronic)</t>
  </si>
  <si>
    <t>Water &amp; organisms</t>
  </si>
  <si>
    <t>Organisms only</t>
  </si>
  <si>
    <t>ma</t>
  </si>
  <si>
    <t>ba</t>
  </si>
  <si>
    <t>mc</t>
  </si>
  <si>
    <t>bc</t>
  </si>
  <si>
    <t>freshwater acute criteria</t>
  </si>
  <si>
    <t>freshwater chronic criteria</t>
  </si>
  <si>
    <t>saltwater acute criteria</t>
  </si>
  <si>
    <t>saltwater chronic criteria</t>
  </si>
  <si>
    <t>Acute</t>
  </si>
  <si>
    <t>Chronic</t>
  </si>
  <si>
    <t>ug/L</t>
  </si>
  <si>
    <t>Antimony</t>
  </si>
  <si>
    <t>Arsenic</t>
  </si>
  <si>
    <t>Beryllium</t>
  </si>
  <si>
    <t>Cadmium</t>
  </si>
  <si>
    <t>5a</t>
  </si>
  <si>
    <t>Chromium (III)</t>
  </si>
  <si>
    <t>5b</t>
  </si>
  <si>
    <t>Chromium (VI) or total Cr</t>
  </si>
  <si>
    <t xml:space="preserve">Copper </t>
  </si>
  <si>
    <t>Lead</t>
  </si>
  <si>
    <t>Mercury</t>
  </si>
  <si>
    <t>Nickel</t>
  </si>
  <si>
    <t>Selenium</t>
  </si>
  <si>
    <t>Silver</t>
  </si>
  <si>
    <t>Thallium</t>
  </si>
  <si>
    <t>Zinc</t>
  </si>
  <si>
    <t>Cyanide</t>
  </si>
  <si>
    <t>Asbestos</t>
  </si>
  <si>
    <t>2,3,7,8-TCDD (Dioxin)</t>
  </si>
  <si>
    <t>Acrolein</t>
  </si>
  <si>
    <t>Acrylonitrile</t>
  </si>
  <si>
    <t>Benzene</t>
  </si>
  <si>
    <t>Bromoform</t>
  </si>
  <si>
    <t>Carbon Tetrachloride</t>
  </si>
  <si>
    <t>Chlorobenzene</t>
  </si>
  <si>
    <t>Chlordibromomethane</t>
  </si>
  <si>
    <t>Chloroethane</t>
  </si>
  <si>
    <t>2-Chloroethylvinyl Ether</t>
  </si>
  <si>
    <t>Chloroform</t>
  </si>
  <si>
    <t>Dichlorobromomethane</t>
  </si>
  <si>
    <t>b. According to Table 1 of Section (b)(1) of CTR (40CFR 131.38), those criteria should use Basin Plan objectives; criteria for Se and CN are specified by the NTR.</t>
  </si>
  <si>
    <t xml:space="preserve">c. Criteria for copper is taken from CTR.  CTR criteria for copper is expressed as dissolved metals.  The copper criter in the table is adjusted by dividing a factor of 0.83 to convert the dissovled to total metal concetration. </t>
  </si>
  <si>
    <t xml:space="preserve">    The freshwater criteria for Selenium is taken from NTR.   </t>
  </si>
  <si>
    <t xml:space="preserve">d. Acronyms in the "Final Result" column: </t>
  </si>
  <si>
    <t>2-Methyl-4,6-Dinitrophenol</t>
  </si>
  <si>
    <t>2,4-Dinitrophenol</t>
  </si>
  <si>
    <t>2-Nitrophenol</t>
  </si>
  <si>
    <t>4-Nitrophenol</t>
  </si>
  <si>
    <t>3-Methyl-4-Chlorophenol</t>
  </si>
  <si>
    <t>Pentachlorophenol</t>
  </si>
  <si>
    <t>Phenol</t>
  </si>
  <si>
    <t>2,4,6-Trichlorophenol</t>
  </si>
  <si>
    <t>Acenaphthene</t>
  </si>
  <si>
    <t>Acenephthylene</t>
  </si>
  <si>
    <t>Anthracene</t>
  </si>
  <si>
    <t>Benzidine</t>
  </si>
  <si>
    <t>Benzo(a)Anthracene</t>
  </si>
  <si>
    <t>Benzo(a)Pyrene</t>
  </si>
  <si>
    <t>Benzo(b)Fluoranthene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</si>
  <si>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</si>
  <si>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</si>
  <si>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</si>
  <si>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</si>
  <si>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</si>
  <si>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</si>
  <si>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</si>
  <si>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</si>
  <si>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</si>
  <si>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</si>
  <si>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</si>
  <si>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</si>
  <si>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</si>
  <si>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</si>
  <si>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</si>
  <si>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</si>
  <si>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</si>
  <si>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</si>
  <si>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</si>
  <si>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</si>
  <si>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</si>
  <si>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</si>
  <si>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</si>
  <si>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</si>
  <si>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</si>
  <si>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</si>
  <si>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</si>
  <si>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</si>
  <si>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</si>
  <si>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 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</si>
  <si>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</si>
  <si>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</si>
  <si>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</si>
  <si>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</si>
  <si>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</si>
  <si>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</si>
  <si>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</si>
  <si>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</si>
  <si>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</si>
  <si>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Aldrin</t>
  </si>
  <si>
    <t>alpha-BHC</t>
  </si>
  <si>
    <t>beta-BHC</t>
  </si>
  <si>
    <t>gamma-BHC</t>
  </si>
  <si>
    <t>delta-BHC</t>
  </si>
  <si>
    <t>Chlordane</t>
  </si>
  <si>
    <t>4,4-DDT</t>
  </si>
  <si>
    <t>4,4-DDE</t>
  </si>
  <si>
    <t>4,4-DDD</t>
  </si>
  <si>
    <t>Dieldrin</t>
  </si>
  <si>
    <t>alpha-Endosulfan</t>
  </si>
  <si>
    <t>beta-Endosulfan</t>
  </si>
  <si>
    <t>Endosulfan Sulfate</t>
  </si>
  <si>
    <t>Endrin</t>
  </si>
  <si>
    <t>Endrin Aldehyde</t>
  </si>
  <si>
    <t>Heptachlor</t>
  </si>
  <si>
    <t>Heptchlor Epoxide</t>
  </si>
  <si>
    <t>119-125</t>
  </si>
  <si>
    <t>Applicable
Acute
WQO</t>
  </si>
  <si>
    <t>Applicable
Chronic
WQO</t>
  </si>
  <si>
    <t>Max.
Quantified
Data</t>
  </si>
  <si>
    <t>Min.
Quantified
Data</t>
  </si>
  <si>
    <t>Min DL</t>
  </si>
  <si>
    <t>Bioaccum-
ulative?</t>
  </si>
  <si>
    <t>Percent NDs.</t>
  </si>
  <si>
    <t>Standard
Deviation,
Quantified
Data</t>
  </si>
  <si>
    <t>Average Background Data</t>
  </si>
  <si>
    <t>CV,
by SIP
Guidance</t>
  </si>
  <si>
    <t>Chronic
ECA</t>
  </si>
  <si>
    <t>Acute 
ECA</t>
  </si>
  <si>
    <t>Chronic 
ECA
Multiplier</t>
  </si>
  <si>
    <t>Acute 
ECA
Multiplier</t>
  </si>
  <si>
    <t>AMEL</t>
  </si>
  <si>
    <t>MDEL</t>
  </si>
  <si>
    <t>MDEL Human Health</t>
  </si>
  <si>
    <t>Human 
Health 
ECA</t>
  </si>
  <si>
    <t>If all data points ND Enter the min detection limit (MDL) (ug/L)</t>
  </si>
  <si>
    <t>Enter the pollutant effluent detected max conc (ug/L)</t>
  </si>
  <si>
    <t>B Available (Y/N)?</t>
  </si>
  <si>
    <t>Are all B non-detects (Y/N)?</t>
  </si>
  <si>
    <t xml:space="preserve">7) Review other information in the SIP page 4.  If information is unavailable or insufficient: 8) the RWQCB shall establish interim monitoring requirements. </t>
  </si>
  <si>
    <t>Input Check</t>
  </si>
  <si>
    <t>Enter the Detected Maximum Background Conc</t>
  </si>
  <si>
    <t>N</t>
  </si>
  <si>
    <t xml:space="preserve">Arsenic </t>
  </si>
  <si>
    <t xml:space="preserve">Beryllium </t>
  </si>
  <si>
    <t xml:space="preserve">Cadmium  </t>
  </si>
  <si>
    <t xml:space="preserve">Chromium (VI) </t>
  </si>
  <si>
    <t xml:space="preserve">Lead </t>
  </si>
  <si>
    <t xml:space="preserve">Mercury </t>
  </si>
  <si>
    <t xml:space="preserve">Nickel </t>
  </si>
  <si>
    <t xml:space="preserve">Silver </t>
  </si>
  <si>
    <t xml:space="preserve">Zinc </t>
  </si>
  <si>
    <t xml:space="preserve">Cyanide </t>
  </si>
  <si>
    <t>Chlorodibromomethane</t>
  </si>
  <si>
    <t>2-Chloroethylvinyl ether</t>
  </si>
  <si>
    <t>2-Chlorophenol</t>
  </si>
  <si>
    <t>2-Methyl- 4,6-Dinitrophenol</t>
  </si>
  <si>
    <t>3-Methyl 4-Chlorophenol</t>
  </si>
  <si>
    <t>Acenaphthylene</t>
  </si>
  <si>
    <t>3,3 Dichlorobenzidine</t>
  </si>
  <si>
    <t>Indeno(1,2,3-cd)Pyrene</t>
  </si>
  <si>
    <t>Naphthalene</t>
  </si>
  <si>
    <t xml:space="preserve">Chlordane </t>
  </si>
  <si>
    <t xml:space="preserve">4,4'-DDT </t>
  </si>
  <si>
    <t>4,4'-DDE (linked to DDT)</t>
  </si>
  <si>
    <t>4,4'-DDD</t>
  </si>
  <si>
    <t>beta-Endolsulfan</t>
  </si>
  <si>
    <t>Heptachlor Epoxide</t>
  </si>
  <si>
    <t xml:space="preserve">PCBs sum </t>
  </si>
  <si>
    <t>Tributylin</t>
  </si>
  <si>
    <t>Beginning</t>
  </si>
  <si>
    <t>Step 2</t>
  </si>
  <si>
    <t>Step 3</t>
  </si>
  <si>
    <t>Step 4</t>
  </si>
  <si>
    <t>If all data points are ND and MinDL&gt;C, interim monitoring is required</t>
  </si>
  <si>
    <t>MEC vs. C</t>
  </si>
  <si>
    <t>Enter the pollutant B detected max conc (ug/L)</t>
  </si>
  <si>
    <t>B vs. C</t>
  </si>
  <si>
    <t>Lowest (most stringent) Criteria (Enter "No Criteria" for no criteria)</t>
  </si>
  <si>
    <t>If B&gt;C, effluent limitation is required</t>
  </si>
  <si>
    <t>RPA Result</t>
  </si>
  <si>
    <t>Reason</t>
  </si>
  <si>
    <t>Chlordane (303d listed)</t>
  </si>
  <si>
    <t>4,4'-DDT (303d listed)</t>
  </si>
  <si>
    <t>Dieldrin (303d listed)</t>
  </si>
  <si>
    <t>PCBs sum (2)</t>
  </si>
  <si>
    <t xml:space="preserve">a. The most stringent of salt and fresh water criteria were selected for this analysis. </t>
  </si>
  <si>
    <t>Ud: Cannot determine reasonable potential due to the absence of data, or because Minimum DL is greater than water quality objective or CTR criteria</t>
  </si>
  <si>
    <t>IM: Interim monitoring is required</t>
  </si>
  <si>
    <t>Copper</t>
  </si>
  <si>
    <t>Average</t>
  </si>
  <si>
    <r>
      <t>C (</t>
    </r>
    <r>
      <rPr>
        <sz val="8"/>
        <rFont val="Symbol"/>
        <family val="1"/>
      </rPr>
      <t>m</t>
    </r>
    <r>
      <rPr>
        <i/>
        <sz val="8"/>
        <rFont val="Arial"/>
        <family val="2"/>
      </rPr>
      <t>g/L)</t>
    </r>
  </si>
  <si>
    <r>
      <t xml:space="preserve">Arsenic </t>
    </r>
    <r>
      <rPr>
        <vertAlign val="superscript"/>
        <sz val="8"/>
        <rFont val="Arial"/>
        <family val="2"/>
      </rPr>
      <t>b</t>
    </r>
  </si>
  <si>
    <r>
      <t xml:space="preserve">Cadmium  </t>
    </r>
    <r>
      <rPr>
        <vertAlign val="superscript"/>
        <sz val="8"/>
        <rFont val="Arial"/>
        <family val="2"/>
      </rPr>
      <t>b</t>
    </r>
  </si>
  <si>
    <r>
      <t xml:space="preserve">Chromium (VI) </t>
    </r>
    <r>
      <rPr>
        <vertAlign val="superscript"/>
        <sz val="8"/>
        <rFont val="Arial"/>
        <family val="2"/>
      </rPr>
      <t>b</t>
    </r>
  </si>
  <si>
    <r>
      <t xml:space="preserve">Copper </t>
    </r>
    <r>
      <rPr>
        <vertAlign val="superscript"/>
        <sz val="8"/>
        <rFont val="Arial"/>
        <family val="2"/>
      </rPr>
      <t xml:space="preserve">c  </t>
    </r>
  </si>
  <si>
    <r>
      <t xml:space="preserve">Lead </t>
    </r>
    <r>
      <rPr>
        <vertAlign val="superscript"/>
        <sz val="8"/>
        <rFont val="Arial"/>
        <family val="2"/>
      </rPr>
      <t>b</t>
    </r>
  </si>
  <si>
    <r>
      <t xml:space="preserve">Mercury (303d listed) </t>
    </r>
    <r>
      <rPr>
        <vertAlign val="superscript"/>
        <sz val="8"/>
        <rFont val="Arial"/>
        <family val="2"/>
      </rPr>
      <t>b</t>
    </r>
  </si>
  <si>
    <r>
      <t xml:space="preserve">Nickel </t>
    </r>
    <r>
      <rPr>
        <vertAlign val="superscript"/>
        <sz val="8"/>
        <rFont val="Arial"/>
        <family val="2"/>
      </rPr>
      <t>b</t>
    </r>
  </si>
  <si>
    <r>
      <t xml:space="preserve">Selenium (303d listed) </t>
    </r>
    <r>
      <rPr>
        <vertAlign val="superscript"/>
        <sz val="8"/>
        <rFont val="Arial"/>
        <family val="2"/>
      </rPr>
      <t>b</t>
    </r>
  </si>
  <si>
    <r>
      <t xml:space="preserve">Silver </t>
    </r>
    <r>
      <rPr>
        <vertAlign val="superscript"/>
        <sz val="8"/>
        <rFont val="Arial"/>
        <family val="2"/>
      </rPr>
      <t>b</t>
    </r>
  </si>
  <si>
    <r>
      <t xml:space="preserve">Zinc </t>
    </r>
    <r>
      <rPr>
        <vertAlign val="superscript"/>
        <sz val="8"/>
        <rFont val="Arial"/>
        <family val="2"/>
      </rPr>
      <t>b</t>
    </r>
  </si>
  <si>
    <r>
      <t xml:space="preserve">Cyanide </t>
    </r>
    <r>
      <rPr>
        <vertAlign val="superscript"/>
        <sz val="8"/>
        <rFont val="Arial"/>
        <family val="2"/>
      </rPr>
      <t>b</t>
    </r>
  </si>
  <si>
    <t>Total PAHs</t>
  </si>
  <si>
    <t>TCDD TEQ</t>
  </si>
  <si>
    <t>Q</t>
  </si>
  <si>
    <t>B</t>
  </si>
  <si>
    <t>S</t>
  </si>
  <si>
    <t>Chlorpyrifos</t>
  </si>
  <si>
    <t>Diazinon</t>
  </si>
  <si>
    <t>T</t>
  </si>
  <si>
    <t>M</t>
  </si>
  <si>
    <t>CTR No.</t>
  </si>
  <si>
    <t>Uo: No criteria available</t>
  </si>
  <si>
    <t>A</t>
  </si>
  <si>
    <t xml:space="preserve">C 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</si>
  <si>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</si>
  <si>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</si>
  <si>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</si>
  <si>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</si>
  <si>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</si>
  <si>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</si>
  <si>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</si>
  <si>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</si>
  <si>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</si>
  <si>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</si>
  <si>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P</t>
  </si>
  <si>
    <t>r</t>
  </si>
  <si>
    <t>Maximum Pollutant Concentration (MEC) (ug/L)</t>
  </si>
  <si>
    <t>(MEC= deteted max value; 
if all ND &amp; MDL&lt;C 
then MEC = MDL)</t>
  </si>
  <si>
    <t>If all B is ND, is MDL&gt;C?
(If Y, Go To Step 7)</t>
  </si>
  <si>
    <t xml:space="preserve">7) Review other information in the SIP page 4.  
Y if other information indicates limits are required.
 If information is unavailable or insufficient: 8) the RWQCB shall establish interim monitoring requirements. </t>
  </si>
  <si>
    <t xml:space="preserve">Y if  If MEC &gt;= C, effluent limitation is required; 2. If MEC&lt;C, go to Step 5 </t>
  </si>
  <si>
    <t>Step 5.</t>
  </si>
  <si>
    <t>Step 6.</t>
  </si>
  <si>
    <t>Step 4.</t>
  </si>
  <si>
    <t>Step 7 &amp; 8.</t>
  </si>
  <si>
    <t>y</t>
  </si>
  <si>
    <t>Combined Effluent Final Result, Flow Weighted Averages</t>
  </si>
  <si>
    <t>RP?</t>
  </si>
  <si>
    <t>Monthly Average</t>
  </si>
  <si>
    <t>Acute LTA</t>
  </si>
  <si>
    <t>Chronic LTA</t>
  </si>
  <si>
    <t>AMEL Multiplier</t>
  </si>
  <si>
    <t>AMEL Human Health</t>
  </si>
  <si>
    <t>MDEL Multiplier</t>
  </si>
  <si>
    <t>Daily Maximum</t>
  </si>
  <si>
    <t>Lowest Acute Criterion</t>
  </si>
  <si>
    <t>Lowest Chronic Criterion</t>
  </si>
  <si>
    <t>Human Health Criterion</t>
  </si>
  <si>
    <t>Data Initialization:</t>
  </si>
  <si>
    <t>Dilution:</t>
  </si>
  <si>
    <t>No. Samples Per Month:</t>
  </si>
  <si>
    <t>Site
Specific
Translators?</t>
  </si>
  <si>
    <t>Human
Health
Criteria
Available?</t>
  </si>
  <si>
    <t>Number of
NDs</t>
  </si>
  <si>
    <t>Number of
Quantified
Data</t>
  </si>
  <si>
    <t>Bckkgrnd Data
Available?</t>
  </si>
  <si>
    <t>U</t>
  </si>
  <si>
    <t>V</t>
  </si>
  <si>
    <t>W</t>
  </si>
  <si>
    <t>X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</si>
  <si>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</si>
  <si>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</si>
  <si>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</si>
  <si>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</si>
  <si>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</si>
  <si>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</si>
  <si>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</si>
  <si>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</si>
  <si>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</si>
  <si>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</si>
  <si>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</si>
  <si>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</si>
  <si>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</si>
  <si>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</si>
  <si>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</si>
  <si>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Enter By Hand</t>
  </si>
  <si>
    <t>Aquatic
Criteria
Available?
(Min. if Y)</t>
  </si>
  <si>
    <t>Enter These Values By Hand</t>
  </si>
  <si>
    <t>Max If Avail.</t>
  </si>
  <si>
    <t>Hand Enter</t>
  </si>
  <si>
    <t>R</t>
  </si>
  <si>
    <t>AMEL
Sigma^2</t>
  </si>
  <si>
    <t>Human Carcinogen?
(Y/N -Only
Fill in Y's)</t>
  </si>
  <si>
    <t>Average,
Quantified
Data</t>
  </si>
  <si>
    <t>Daily 
Max, ug/l</t>
  </si>
  <si>
    <t>Monthly
Average, ug/l</t>
  </si>
  <si>
    <t>Background
Data
Available?</t>
  </si>
  <si>
    <t>Effluent Data Available?</t>
  </si>
  <si>
    <t>Are all data points non-detects?</t>
  </si>
  <si>
    <t>Minimum MDL (ug/L) if all data ND.</t>
  </si>
  <si>
    <t>Are all B data points non-detects?</t>
  </si>
  <si>
    <t>AMEL 
Sigma</t>
  </si>
  <si>
    <t>Chronic
ECA
Sigma</t>
  </si>
  <si>
    <t>Chronic
ECA 
(Sigma^2)</t>
  </si>
  <si>
    <t>Acute
ECA Sigma</t>
  </si>
  <si>
    <t>Acute
ECA 
(Sigma^2)</t>
  </si>
  <si>
    <t>Basin Plan Criteria (CTR Criteria except mercury)</t>
  </si>
  <si>
    <t>2,3,7,8 TCDD-TEQ</t>
  </si>
  <si>
    <t xml:space="preserve"> </t>
  </si>
  <si>
    <t xml:space="preserve">dioxin-TEQ (303d listed) </t>
  </si>
  <si>
    <t>2,3,7,8-TCDD</t>
  </si>
  <si>
    <t>2,3,7,8 TCDD</t>
  </si>
  <si>
    <t/>
  </si>
  <si>
    <t>Date</t>
  </si>
  <si>
    <t>Stand Dev</t>
  </si>
  <si>
    <t>Coeff Var</t>
  </si>
  <si>
    <t>CV (round)</t>
  </si>
  <si>
    <t>Trigger 3</t>
  </si>
  <si>
    <t>note background for heptachlor epoxide is average so limit calculation is correct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</si>
</sst>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000"/>
    <numFmt numFmtId="168" formatCode="0.00000"/>
    <numFmt numFmtId="169" formatCode="#,##0.000"/>
    <numFmt numFmtId="170" formatCode="#,##0.000000000"/>
    <numFmt numFmtId="171" formatCode="#,##0.0"/>
    <numFmt numFmtId="172" formatCode="#,##0.00000"/>
    <numFmt numFmtId="173" formatCode="#,##0.0000"/>
    <numFmt numFmtId="174" formatCode="0.000000"/>
    <numFmt numFmtId="175" formatCode="0.0_)"/>
    <numFmt numFmtId="176" formatCode="0.000E+00"/>
    <numFmt numFmtId="177" formatCode="mm/dd/yy"/>
    <numFmt numFmtId="178" formatCode="0.0000000"/>
    <numFmt numFmtId="179" formatCode="0.00000000000"/>
    <numFmt numFmtId="180" formatCode="mmmm\-yy"/>
    <numFmt numFmtId="181" formatCode="0.00000000"/>
    <numFmt numFmtId="182" formatCode="0.0_);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_);\(0.000\)"/>
    <numFmt numFmtId="187" formatCode="_(* #,##0.0_);_(* \(#,##0.0\);_(* &quot;-&quot;??_);_(@_)"/>
    <numFmt numFmtId="188" formatCode="_(* #,##0_);_(* \(#,##0\);_(* &quot;-&quot;??_);_(@_)"/>
    <numFmt numFmtId="189" formatCode="_(* #,##0.000000_);_(* \(#,##0.000000\);_(* &quot;-&quot;??_);_(@_)"/>
    <numFmt numFmtId="190" formatCode="0.00_)"/>
    <numFmt numFmtId="191" formatCode="0_)"/>
    <numFmt numFmtId="192" formatCode="General_)"/>
    <numFmt numFmtId="193" formatCode="0.000_)"/>
    <numFmt numFmtId="194" formatCode="0.0%"/>
    <numFmt numFmtId="195" formatCode="##.0"/>
    <numFmt numFmtId="196" formatCode="##"/>
    <numFmt numFmtId="197" formatCode="##.00"/>
    <numFmt numFmtId="198" formatCode="#,##0.0_);[Red]\(#,##0.0\)"/>
    <numFmt numFmtId="199" formatCode="0.0000_)"/>
    <numFmt numFmtId="200" formatCode="0.00000_)"/>
    <numFmt numFmtId="201" formatCode="dd\-mmm\-yy_)"/>
    <numFmt numFmtId="202" formatCode="&quot;$&quot;#,##0"/>
    <numFmt numFmtId="203" formatCode="&quot;$&quot;#,##0.0_);[Red]\(&quot;$&quot;#,##0.0\)"/>
    <numFmt numFmtId="204" formatCode="0.0000000000"/>
    <numFmt numFmtId="205" formatCode="0.00000000E+00"/>
    <numFmt numFmtId="206" formatCode="0;\-0;;@"/>
    <numFmt numFmtId="207" formatCode="0.0E+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0_);_(* \(#,##0.0000000\);_(* &quot;-&quot;??_);_(@_)"/>
    <numFmt numFmtId="212" formatCode="_(* #,##0.00000000_);_(* \(#,##0.00000000\);_(* &quot;-&quot;??_);_(@_)"/>
    <numFmt numFmtId="213" formatCode="_(* #,##0.000000000_);_(* \(#,##0.000000000\);_(* &quot;-&quot;??_);_(@_)"/>
    <numFmt numFmtId="214" formatCode="0.00000E+00"/>
    <numFmt numFmtId="215" formatCode="0.0000E+00"/>
    <numFmt numFmtId="216" formatCode="[$-409]dddd\,\ mmmm\ dd\,\ yyyy"/>
    <numFmt numFmtId="217" formatCode="[$-409]mmm\-yy;@"/>
  </numFmts>
  <fonts count="2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8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23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color indexed="8"/>
      <name val="Arial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9"/>
      <name val="Geneva"/>
      <family val="0"/>
    </font>
    <font>
      <b/>
      <sz val="9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9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double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double"/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2" borderId="1" applyFill="0" applyBorder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9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164" fontId="3" fillId="0" borderId="22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1" fontId="3" fillId="0" borderId="23" xfId="0" applyNumberFormat="1" applyFont="1" applyBorder="1" applyAlignment="1">
      <alignment horizontal="right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3" fontId="3" fillId="0" borderId="30" xfId="0" applyNumberFormat="1" applyFont="1" applyBorder="1" applyAlignment="1">
      <alignment wrapText="1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3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1" fontId="3" fillId="0" borderId="32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1" fontId="7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9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33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1" fontId="3" fillId="0" borderId="32" xfId="0" applyNumberFormat="1" applyFont="1" applyBorder="1" applyAlignment="1">
      <alignment horizontal="right" wrapText="1"/>
    </xf>
    <xf numFmtId="0" fontId="3" fillId="0" borderId="33" xfId="0" applyFont="1" applyBorder="1" applyAlignment="1">
      <alignment/>
    </xf>
    <xf numFmtId="165" fontId="3" fillId="0" borderId="33" xfId="0" applyNumberFormat="1" applyFont="1" applyBorder="1" applyAlignment="1">
      <alignment/>
    </xf>
    <xf numFmtId="165" fontId="3" fillId="0" borderId="35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3" fontId="3" fillId="0" borderId="35" xfId="0" applyNumberFormat="1" applyFont="1" applyBorder="1" applyAlignment="1">
      <alignment wrapText="1"/>
    </xf>
    <xf numFmtId="3" fontId="3" fillId="0" borderId="33" xfId="0" applyNumberFormat="1" applyFont="1" applyBorder="1" applyAlignment="1">
      <alignment wrapText="1"/>
    </xf>
    <xf numFmtId="165" fontId="7" fillId="0" borderId="37" xfId="0" applyNumberFormat="1" applyFont="1" applyBorder="1" applyAlignment="1">
      <alignment wrapText="1"/>
    </xf>
    <xf numFmtId="0" fontId="3" fillId="0" borderId="38" xfId="0" applyFont="1" applyBorder="1" applyAlignment="1">
      <alignment wrapText="1"/>
    </xf>
    <xf numFmtId="166" fontId="3" fillId="0" borderId="34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6" fontId="3" fillId="0" borderId="39" xfId="0" applyNumberFormat="1" applyFont="1" applyBorder="1" applyAlignment="1">
      <alignment/>
    </xf>
    <xf numFmtId="166" fontId="3" fillId="0" borderId="35" xfId="0" applyNumberFormat="1" applyFont="1" applyBorder="1" applyAlignment="1">
      <alignment/>
    </xf>
    <xf numFmtId="165" fontId="3" fillId="0" borderId="34" xfId="0" applyNumberFormat="1" applyFont="1" applyBorder="1" applyAlignment="1">
      <alignment/>
    </xf>
    <xf numFmtId="1" fontId="3" fillId="0" borderId="37" xfId="0" applyNumberFormat="1" applyFont="1" applyBorder="1" applyAlignment="1">
      <alignment wrapText="1"/>
    </xf>
    <xf numFmtId="165" fontId="3" fillId="0" borderId="35" xfId="0" applyNumberFormat="1" applyFont="1" applyBorder="1" applyAlignment="1">
      <alignment wrapText="1"/>
    </xf>
    <xf numFmtId="165" fontId="3" fillId="0" borderId="37" xfId="0" applyNumberFormat="1" applyFont="1" applyBorder="1" applyAlignment="1">
      <alignment wrapText="1"/>
    </xf>
    <xf numFmtId="164" fontId="3" fillId="0" borderId="34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1" fontId="7" fillId="0" borderId="37" xfId="0" applyNumberFormat="1" applyFont="1" applyBorder="1" applyAlignment="1">
      <alignment wrapText="1"/>
    </xf>
    <xf numFmtId="1" fontId="3" fillId="0" borderId="38" xfId="0" applyNumberFormat="1" applyFont="1" applyBorder="1" applyAlignment="1">
      <alignment wrapText="1"/>
    </xf>
    <xf numFmtId="0" fontId="6" fillId="0" borderId="34" xfId="0" applyFont="1" applyBorder="1" applyAlignment="1">
      <alignment/>
    </xf>
    <xf numFmtId="1" fontId="3" fillId="0" borderId="39" xfId="0" applyNumberFormat="1" applyFont="1" applyBorder="1" applyAlignment="1">
      <alignment/>
    </xf>
    <xf numFmtId="0" fontId="3" fillId="0" borderId="35" xfId="0" applyFont="1" applyFill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8" fillId="0" borderId="34" xfId="0" applyFont="1" applyBorder="1" applyAlignment="1">
      <alignment/>
    </xf>
    <xf numFmtId="0" fontId="8" fillId="0" borderId="39" xfId="0" applyFont="1" applyBorder="1" applyAlignment="1">
      <alignment/>
    </xf>
    <xf numFmtId="1" fontId="3" fillId="0" borderId="35" xfId="0" applyNumberFormat="1" applyFont="1" applyBorder="1" applyAlignment="1">
      <alignment wrapText="1"/>
    </xf>
    <xf numFmtId="1" fontId="3" fillId="0" borderId="33" xfId="0" applyNumberFormat="1" applyFont="1" applyBorder="1" applyAlignment="1">
      <alignment wrapText="1"/>
    </xf>
    <xf numFmtId="0" fontId="6" fillId="0" borderId="34" xfId="0" applyFont="1" applyFill="1" applyBorder="1" applyAlignment="1">
      <alignment/>
    </xf>
    <xf numFmtId="1" fontId="3" fillId="0" borderId="33" xfId="0" applyNumberFormat="1" applyFont="1" applyFill="1" applyBorder="1" applyAlignment="1">
      <alignment/>
    </xf>
    <xf numFmtId="166" fontId="3" fillId="0" borderId="34" xfId="0" applyNumberFormat="1" applyFont="1" applyFill="1" applyBorder="1" applyAlignment="1">
      <alignment/>
    </xf>
    <xf numFmtId="165" fontId="3" fillId="0" borderId="35" xfId="0" applyNumberFormat="1" applyFont="1" applyFill="1" applyBorder="1" applyAlignment="1">
      <alignment/>
    </xf>
    <xf numFmtId="165" fontId="3" fillId="0" borderId="36" xfId="0" applyNumberFormat="1" applyFont="1" applyFill="1" applyBorder="1" applyAlignment="1">
      <alignment/>
    </xf>
    <xf numFmtId="166" fontId="3" fillId="0" borderId="37" xfId="0" applyNumberFormat="1" applyFont="1" applyBorder="1" applyAlignment="1">
      <alignment/>
    </xf>
    <xf numFmtId="165" fontId="3" fillId="0" borderId="33" xfId="0" applyNumberFormat="1" applyFont="1" applyBorder="1" applyAlignment="1">
      <alignment wrapText="1"/>
    </xf>
    <xf numFmtId="0" fontId="3" fillId="0" borderId="34" xfId="0" applyFont="1" applyBorder="1" applyAlignment="1">
      <alignment wrapText="1"/>
    </xf>
    <xf numFmtId="166" fontId="3" fillId="0" borderId="37" xfId="0" applyNumberFormat="1" applyFont="1" applyBorder="1" applyAlignment="1">
      <alignment wrapText="1"/>
    </xf>
    <xf numFmtId="166" fontId="3" fillId="0" borderId="38" xfId="0" applyNumberFormat="1" applyFont="1" applyBorder="1" applyAlignment="1">
      <alignment wrapText="1"/>
    </xf>
    <xf numFmtId="0" fontId="0" fillId="0" borderId="37" xfId="0" applyBorder="1" applyAlignment="1">
      <alignment/>
    </xf>
    <xf numFmtId="3" fontId="3" fillId="0" borderId="38" xfId="0" applyNumberFormat="1" applyFont="1" applyBorder="1" applyAlignment="1">
      <alignment wrapText="1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36" xfId="0" applyFont="1" applyBorder="1" applyAlignment="1">
      <alignment/>
    </xf>
    <xf numFmtId="165" fontId="3" fillId="0" borderId="38" xfId="0" applyNumberFormat="1" applyFont="1" applyBorder="1" applyAlignment="1">
      <alignment wrapText="1"/>
    </xf>
    <xf numFmtId="0" fontId="8" fillId="0" borderId="7" xfId="0" applyFont="1" applyBorder="1" applyAlignment="1">
      <alignment/>
    </xf>
    <xf numFmtId="0" fontId="8" fillId="0" borderId="12" xfId="0" applyFont="1" applyBorder="1" applyAlignment="1">
      <alignment/>
    </xf>
    <xf numFmtId="1" fontId="3" fillId="0" borderId="34" xfId="0" applyNumberFormat="1" applyFont="1" applyBorder="1" applyAlignment="1">
      <alignment wrapText="1"/>
    </xf>
    <xf numFmtId="167" fontId="3" fillId="0" borderId="37" xfId="0" applyNumberFormat="1" applyFont="1" applyBorder="1" applyAlignment="1">
      <alignment/>
    </xf>
    <xf numFmtId="167" fontId="3" fillId="0" borderId="38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165" fontId="3" fillId="0" borderId="38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8" xfId="0" applyFont="1" applyBorder="1" applyAlignment="1">
      <alignment/>
    </xf>
    <xf numFmtId="1" fontId="7" fillId="0" borderId="34" xfId="0" applyNumberFormat="1" applyFont="1" applyBorder="1" applyAlignment="1">
      <alignment/>
    </xf>
    <xf numFmtId="1" fontId="7" fillId="0" borderId="35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168" fontId="3" fillId="0" borderId="38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166" fontId="3" fillId="0" borderId="38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/>
    </xf>
    <xf numFmtId="1" fontId="9" fillId="0" borderId="32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168" fontId="3" fillId="0" borderId="37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42" xfId="0" applyFont="1" applyBorder="1" applyAlignment="1">
      <alignment/>
    </xf>
    <xf numFmtId="0" fontId="6" fillId="0" borderId="0" xfId="0" applyFont="1" applyAlignment="1">
      <alignment/>
    </xf>
    <xf numFmtId="166" fontId="12" fillId="0" borderId="34" xfId="0" applyNumberFormat="1" applyFont="1" applyBorder="1" applyAlignment="1">
      <alignment/>
    </xf>
    <xf numFmtId="166" fontId="12" fillId="0" borderId="35" xfId="0" applyNumberFormat="1" applyFont="1" applyBorder="1" applyAlignment="1">
      <alignment/>
    </xf>
    <xf numFmtId="2" fontId="12" fillId="0" borderId="34" xfId="0" applyNumberFormat="1" applyFont="1" applyBorder="1" applyAlignment="1">
      <alignment wrapText="1"/>
    </xf>
    <xf numFmtId="2" fontId="12" fillId="0" borderId="35" xfId="0" applyNumberFormat="1" applyFont="1" applyBorder="1" applyAlignment="1">
      <alignment wrapText="1"/>
    </xf>
    <xf numFmtId="1" fontId="12" fillId="0" borderId="34" xfId="0" applyNumberFormat="1" applyFont="1" applyBorder="1" applyAlignment="1">
      <alignment/>
    </xf>
    <xf numFmtId="1" fontId="12" fillId="0" borderId="35" xfId="0" applyNumberFormat="1" applyFont="1" applyBorder="1" applyAlignment="1">
      <alignment/>
    </xf>
    <xf numFmtId="1" fontId="12" fillId="0" borderId="37" xfId="0" applyNumberFormat="1" applyFont="1" applyBorder="1" applyAlignment="1">
      <alignment/>
    </xf>
    <xf numFmtId="165" fontId="12" fillId="0" borderId="35" xfId="0" applyNumberFormat="1" applyFont="1" applyBorder="1" applyAlignment="1">
      <alignment wrapText="1"/>
    </xf>
    <xf numFmtId="165" fontId="12" fillId="0" borderId="34" xfId="0" applyNumberFormat="1" applyFont="1" applyBorder="1" applyAlignment="1">
      <alignment wrapText="1"/>
    </xf>
    <xf numFmtId="1" fontId="12" fillId="0" borderId="34" xfId="0" applyNumberFormat="1" applyFont="1" applyBorder="1" applyAlignment="1">
      <alignment wrapText="1"/>
    </xf>
    <xf numFmtId="1" fontId="12" fillId="0" borderId="35" xfId="0" applyNumberFormat="1" applyFont="1" applyBorder="1" applyAlignment="1">
      <alignment wrapText="1"/>
    </xf>
    <xf numFmtId="3" fontId="12" fillId="0" borderId="37" xfId="0" applyNumberFormat="1" applyFont="1" applyBorder="1" applyAlignment="1">
      <alignment wrapText="1"/>
    </xf>
    <xf numFmtId="1" fontId="12" fillId="0" borderId="37" xfId="0" applyNumberFormat="1" applyFont="1" applyBorder="1" applyAlignment="1">
      <alignment wrapText="1"/>
    </xf>
    <xf numFmtId="165" fontId="12" fillId="0" borderId="37" xfId="0" applyNumberFormat="1" applyFont="1" applyBorder="1" applyAlignment="1">
      <alignment wrapText="1"/>
    </xf>
    <xf numFmtId="2" fontId="12" fillId="0" borderId="36" xfId="0" applyNumberFormat="1" applyFont="1" applyBorder="1" applyAlignment="1">
      <alignment/>
    </xf>
    <xf numFmtId="2" fontId="12" fillId="0" borderId="34" xfId="0" applyNumberFormat="1" applyFont="1" applyBorder="1" applyAlignment="1">
      <alignment/>
    </xf>
    <xf numFmtId="2" fontId="12" fillId="0" borderId="35" xfId="0" applyNumberFormat="1" applyFont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0" fillId="3" borderId="45" xfId="0" applyFill="1" applyBorder="1" applyAlignment="1">
      <alignment horizontal="center"/>
    </xf>
    <xf numFmtId="0" fontId="6" fillId="0" borderId="46" xfId="0" applyFont="1" applyFill="1" applyBorder="1" applyAlignment="1">
      <alignment horizontal="left"/>
    </xf>
    <xf numFmtId="0" fontId="9" fillId="4" borderId="47" xfId="0" applyFont="1" applyFill="1" applyBorder="1" applyAlignment="1">
      <alignment horizontal="center" wrapText="1"/>
    </xf>
    <xf numFmtId="0" fontId="9" fillId="3" borderId="48" xfId="0" applyFont="1" applyFill="1" applyBorder="1" applyAlignment="1">
      <alignment horizontal="center" wrapText="1"/>
    </xf>
    <xf numFmtId="0" fontId="9" fillId="5" borderId="49" xfId="0" applyFont="1" applyFill="1" applyBorder="1" applyAlignment="1">
      <alignment horizontal="center"/>
    </xf>
    <xf numFmtId="0" fontId="9" fillId="4" borderId="49" xfId="0" applyFont="1" applyFill="1" applyBorder="1" applyAlignment="1">
      <alignment horizontal="center" wrapText="1"/>
    </xf>
    <xf numFmtId="0" fontId="3" fillId="4" borderId="50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left" wrapText="1"/>
    </xf>
    <xf numFmtId="0" fontId="3" fillId="4" borderId="51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52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166" fontId="3" fillId="0" borderId="35" xfId="0" applyNumberFormat="1" applyFont="1" applyBorder="1" applyAlignment="1">
      <alignment horizontal="center" wrapText="1"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1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3" borderId="2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35" xfId="0" applyNumberFormat="1" applyFont="1" applyBorder="1" applyAlignment="1">
      <alignment horizontal="right"/>
    </xf>
    <xf numFmtId="0" fontId="6" fillId="0" borderId="35" xfId="0" applyFont="1" applyBorder="1" applyAlignment="1">
      <alignment/>
    </xf>
    <xf numFmtId="0" fontId="3" fillId="0" borderId="45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6" fontId="3" fillId="0" borderId="35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left"/>
    </xf>
    <xf numFmtId="0" fontId="6" fillId="4" borderId="54" xfId="0" applyNumberFormat="1" applyFont="1" applyFill="1" applyBorder="1" applyAlignment="1">
      <alignment horizontal="center"/>
    </xf>
    <xf numFmtId="0" fontId="6" fillId="4" borderId="55" xfId="0" applyFont="1" applyFill="1" applyBorder="1" applyAlignment="1">
      <alignment horizontal="left"/>
    </xf>
    <xf numFmtId="0" fontId="6" fillId="4" borderId="56" xfId="0" applyFont="1" applyFill="1" applyBorder="1" applyAlignment="1">
      <alignment horizontal="left"/>
    </xf>
    <xf numFmtId="0" fontId="6" fillId="4" borderId="57" xfId="0" applyFont="1" applyFill="1" applyBorder="1" applyAlignment="1">
      <alignment horizontal="left"/>
    </xf>
    <xf numFmtId="0" fontId="6" fillId="4" borderId="58" xfId="0" applyFont="1" applyFill="1" applyBorder="1" applyAlignment="1">
      <alignment horizontal="left"/>
    </xf>
    <xf numFmtId="0" fontId="9" fillId="0" borderId="59" xfId="0" applyNumberFormat="1" applyFont="1" applyFill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 wrapText="1"/>
    </xf>
    <xf numFmtId="0" fontId="9" fillId="0" borderId="62" xfId="0" applyNumberFormat="1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9" xfId="0" applyFont="1" applyBorder="1" applyAlignment="1">
      <alignment horizontal="left" wrapText="1"/>
    </xf>
    <xf numFmtId="0" fontId="9" fillId="0" borderId="63" xfId="0" applyFont="1" applyBorder="1" applyAlignment="1">
      <alignment horizontal="center" wrapText="1"/>
    </xf>
    <xf numFmtId="0" fontId="3" fillId="0" borderId="6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11" fontId="3" fillId="0" borderId="26" xfId="0" applyNumberFormat="1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6" borderId="35" xfId="0" applyFont="1" applyFill="1" applyBorder="1" applyAlignment="1">
      <alignment/>
    </xf>
    <xf numFmtId="0" fontId="3" fillId="0" borderId="65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67" xfId="0" applyFont="1" applyBorder="1" applyAlignment="1">
      <alignment/>
    </xf>
    <xf numFmtId="166" fontId="3" fillId="0" borderId="63" xfId="0" applyNumberFormat="1" applyFont="1" applyBorder="1" applyAlignment="1">
      <alignment/>
    </xf>
    <xf numFmtId="0" fontId="3" fillId="0" borderId="63" xfId="0" applyFont="1" applyBorder="1" applyAlignment="1">
      <alignment/>
    </xf>
    <xf numFmtId="164" fontId="0" fillId="0" borderId="66" xfId="0" applyNumberFormat="1" applyBorder="1" applyAlignment="1">
      <alignment/>
    </xf>
    <xf numFmtId="164" fontId="0" fillId="0" borderId="51" xfId="0" applyNumberFormat="1" applyBorder="1" applyAlignment="1">
      <alignment/>
    </xf>
    <xf numFmtId="164" fontId="0" fillId="0" borderId="68" xfId="0" applyNumberFormat="1" applyBorder="1" applyAlignment="1">
      <alignment/>
    </xf>
    <xf numFmtId="0" fontId="0" fillId="0" borderId="66" xfId="0" applyBorder="1" applyAlignment="1">
      <alignment/>
    </xf>
    <xf numFmtId="0" fontId="0" fillId="0" borderId="51" xfId="0" applyBorder="1" applyAlignment="1">
      <alignment/>
    </xf>
    <xf numFmtId="0" fontId="0" fillId="0" borderId="68" xfId="0" applyBorder="1" applyAlignment="1">
      <alignment/>
    </xf>
    <xf numFmtId="0" fontId="3" fillId="0" borderId="32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3" borderId="35" xfId="0" applyFont="1" applyFill="1" applyBorder="1" applyAlignment="1">
      <alignment/>
    </xf>
    <xf numFmtId="0" fontId="3" fillId="0" borderId="0" xfId="16" applyNumberFormat="1" applyFont="1" applyAlignment="1">
      <alignment/>
    </xf>
    <xf numFmtId="0" fontId="3" fillId="0" borderId="35" xfId="16" applyNumberFormat="1" applyFont="1" applyFill="1" applyBorder="1" applyAlignment="1">
      <alignment horizontal="center"/>
    </xf>
    <xf numFmtId="0" fontId="3" fillId="0" borderId="35" xfId="16" applyNumberFormat="1" applyFont="1" applyFill="1" applyBorder="1" applyAlignment="1">
      <alignment horizontal="center"/>
    </xf>
    <xf numFmtId="0" fontId="3" fillId="0" borderId="0" xfId="16" applyNumberFormat="1" applyFont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69" xfId="0" applyNumberFormat="1" applyBorder="1" applyAlignment="1">
      <alignment horizontal="center"/>
    </xf>
    <xf numFmtId="0" fontId="12" fillId="0" borderId="64" xfId="0" applyNumberFormat="1" applyFont="1" applyBorder="1" applyAlignment="1">
      <alignment/>
    </xf>
    <xf numFmtId="0" fontId="12" fillId="0" borderId="70" xfId="0" applyNumberFormat="1" applyFont="1" applyBorder="1" applyAlignment="1">
      <alignment/>
    </xf>
    <xf numFmtId="0" fontId="12" fillId="0" borderId="70" xfId="0" applyNumberFormat="1" applyFont="1" applyBorder="1" applyAlignment="1">
      <alignment horizontal="right"/>
    </xf>
    <xf numFmtId="0" fontId="12" fillId="0" borderId="70" xfId="0" applyNumberFormat="1" applyFont="1" applyBorder="1" applyAlignment="1">
      <alignment/>
    </xf>
    <xf numFmtId="0" fontId="12" fillId="0" borderId="70" xfId="0" applyNumberFormat="1" applyFont="1" applyBorder="1" applyAlignment="1">
      <alignment horizontal="center"/>
    </xf>
    <xf numFmtId="0" fontId="12" fillId="0" borderId="62" xfId="0" applyNumberFormat="1" applyFont="1" applyBorder="1" applyAlignment="1">
      <alignment/>
    </xf>
    <xf numFmtId="0" fontId="13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71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8" xfId="0" applyFont="1" applyFill="1" applyBorder="1" applyAlignment="1">
      <alignment horizontal="center" wrapText="1"/>
    </xf>
    <xf numFmtId="0" fontId="24" fillId="0" borderId="25" xfId="22" applyFont="1" applyBorder="1" applyAlignment="1">
      <alignment horizontal="center"/>
      <protection/>
    </xf>
    <xf numFmtId="0" fontId="6" fillId="0" borderId="24" xfId="0" applyFont="1" applyBorder="1" applyAlignment="1">
      <alignment horizontal="center" wrapText="1"/>
    </xf>
    <xf numFmtId="0" fontId="6" fillId="0" borderId="72" xfId="0" applyNumberFormat="1" applyFont="1" applyFill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6" fillId="0" borderId="7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74" xfId="0" applyFont="1" applyFill="1" applyBorder="1" applyAlignment="1">
      <alignment horizontal="center"/>
    </xf>
    <xf numFmtId="0" fontId="6" fillId="4" borderId="75" xfId="0" applyFont="1" applyFill="1" applyBorder="1" applyAlignment="1">
      <alignment horizontal="left"/>
    </xf>
    <xf numFmtId="0" fontId="6" fillId="0" borderId="76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9" fillId="0" borderId="77" xfId="0" applyFont="1" applyBorder="1" applyAlignment="1">
      <alignment horizontal="center"/>
    </xf>
    <xf numFmtId="0" fontId="9" fillId="0" borderId="50" xfId="0" applyFont="1" applyBorder="1" applyAlignment="1">
      <alignment horizontal="center" wrapText="1"/>
    </xf>
    <xf numFmtId="0" fontId="6" fillId="0" borderId="74" xfId="0" applyFont="1" applyBorder="1" applyAlignment="1">
      <alignment horizontal="center" wrapText="1"/>
    </xf>
    <xf numFmtId="0" fontId="3" fillId="0" borderId="24" xfId="0" applyFont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6" fillId="4" borderId="78" xfId="0" applyFont="1" applyFill="1" applyBorder="1" applyAlignment="1">
      <alignment horizontal="left"/>
    </xf>
    <xf numFmtId="0" fontId="6" fillId="0" borderId="72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72" xfId="0" applyFont="1" applyFill="1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center"/>
    </xf>
    <xf numFmtId="0" fontId="6" fillId="0" borderId="42" xfId="0" applyFont="1" applyFill="1" applyBorder="1" applyAlignment="1">
      <alignment horizontal="left" wrapText="1"/>
    </xf>
    <xf numFmtId="0" fontId="3" fillId="0" borderId="79" xfId="0" applyFont="1" applyBorder="1" applyAlignment="1">
      <alignment horizontal="center"/>
    </xf>
    <xf numFmtId="0" fontId="9" fillId="0" borderId="80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6" fillId="0" borderId="76" xfId="0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wrapText="1"/>
    </xf>
    <xf numFmtId="0" fontId="6" fillId="4" borderId="81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 wrapText="1"/>
    </xf>
    <xf numFmtId="166" fontId="3" fillId="0" borderId="35" xfId="0" applyNumberFormat="1" applyFont="1" applyFill="1" applyBorder="1" applyAlignment="1">
      <alignment horizontal="center" wrapText="1"/>
    </xf>
    <xf numFmtId="11" fontId="3" fillId="0" borderId="35" xfId="0" applyNumberFormat="1" applyFont="1" applyFill="1" applyBorder="1" applyAlignment="1">
      <alignment horizontal="center"/>
    </xf>
    <xf numFmtId="0" fontId="3" fillId="0" borderId="45" xfId="16" applyNumberFormat="1" applyFont="1" applyFill="1" applyBorder="1" applyAlignment="1">
      <alignment horizontal="center"/>
    </xf>
    <xf numFmtId="1" fontId="3" fillId="0" borderId="35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5" xfId="16" applyNumberFormat="1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26" fillId="0" borderId="8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43" fontId="0" fillId="0" borderId="8" xfId="16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0" fontId="6" fillId="0" borderId="42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0" fillId="0" borderId="0" xfId="0" applyNumberFormat="1" applyAlignment="1">
      <alignment/>
    </xf>
    <xf numFmtId="168" fontId="0" fillId="0" borderId="3" xfId="0" applyNumberFormat="1" applyBorder="1" applyAlignment="1">
      <alignment/>
    </xf>
    <xf numFmtId="168" fontId="3" fillId="0" borderId="66" xfId="0" applyNumberFormat="1" applyFont="1" applyBorder="1" applyAlignment="1">
      <alignment horizontal="center" wrapText="1"/>
    </xf>
    <xf numFmtId="168" fontId="3" fillId="0" borderId="35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0" fillId="0" borderId="4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2" fontId="0" fillId="0" borderId="8" xfId="0" applyNumberFormat="1" applyFont="1" applyFill="1" applyBorder="1" applyAlignment="1">
      <alignment horizontal="center" wrapText="1"/>
    </xf>
    <xf numFmtId="2" fontId="0" fillId="0" borderId="0" xfId="0" applyNumberFormat="1" applyAlignment="1" quotePrefix="1">
      <alignment/>
    </xf>
    <xf numFmtId="164" fontId="0" fillId="0" borderId="0" xfId="0" applyNumberFormat="1" applyAlignment="1" quotePrefix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6" fontId="0" fillId="0" borderId="8" xfId="16" applyNumberFormat="1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wrapText="1"/>
    </xf>
    <xf numFmtId="168" fontId="6" fillId="4" borderId="75" xfId="0" applyNumberFormat="1" applyFont="1" applyFill="1" applyBorder="1" applyAlignment="1">
      <alignment horizontal="left"/>
    </xf>
    <xf numFmtId="168" fontId="6" fillId="4" borderId="58" xfId="0" applyNumberFormat="1" applyFont="1" applyFill="1" applyBorder="1" applyAlignment="1">
      <alignment horizontal="left"/>
    </xf>
    <xf numFmtId="168" fontId="9" fillId="0" borderId="80" xfId="0" applyNumberFormat="1" applyFont="1" applyBorder="1" applyAlignment="1">
      <alignment horizontal="center" wrapText="1"/>
    </xf>
    <xf numFmtId="168" fontId="9" fillId="0" borderId="61" xfId="0" applyNumberFormat="1" applyFont="1" applyBorder="1" applyAlignment="1">
      <alignment horizontal="center" wrapText="1"/>
    </xf>
    <xf numFmtId="168" fontId="9" fillId="0" borderId="66" xfId="0" applyNumberFormat="1" applyFont="1" applyBorder="1" applyAlignment="1">
      <alignment horizontal="center" wrapText="1"/>
    </xf>
    <xf numFmtId="168" fontId="9" fillId="0" borderId="63" xfId="0" applyNumberFormat="1" applyFont="1" applyBorder="1" applyAlignment="1">
      <alignment horizontal="center" wrapText="1"/>
    </xf>
    <xf numFmtId="168" fontId="6" fillId="0" borderId="76" xfId="0" applyNumberFormat="1" applyFont="1" applyBorder="1" applyAlignment="1">
      <alignment horizontal="center" wrapText="1"/>
    </xf>
    <xf numFmtId="168" fontId="6" fillId="0" borderId="71" xfId="0" applyNumberFormat="1" applyFont="1" applyBorder="1" applyAlignment="1">
      <alignment horizontal="center" wrapText="1"/>
    </xf>
    <xf numFmtId="168" fontId="6" fillId="0" borderId="26" xfId="0" applyNumberFormat="1" applyFont="1" applyBorder="1" applyAlignment="1">
      <alignment horizontal="center"/>
    </xf>
    <xf numFmtId="168" fontId="6" fillId="0" borderId="35" xfId="0" applyNumberFormat="1" applyFont="1" applyFill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2" fontId="6" fillId="0" borderId="35" xfId="0" applyNumberFormat="1" applyFont="1" applyFill="1" applyBorder="1" applyAlignment="1">
      <alignment horizontal="left"/>
    </xf>
    <xf numFmtId="0" fontId="3" fillId="0" borderId="79" xfId="0" applyFont="1" applyBorder="1" applyAlignment="1">
      <alignment horizontal="left"/>
    </xf>
    <xf numFmtId="164" fontId="6" fillId="0" borderId="26" xfId="0" applyNumberFormat="1" applyFont="1" applyBorder="1" applyAlignment="1">
      <alignment horizontal="center"/>
    </xf>
    <xf numFmtId="164" fontId="6" fillId="0" borderId="35" xfId="0" applyNumberFormat="1" applyFont="1" applyFill="1" applyBorder="1" applyAlignment="1">
      <alignment horizontal="left"/>
    </xf>
    <xf numFmtId="166" fontId="3" fillId="0" borderId="64" xfId="0" applyNumberFormat="1" applyFont="1" applyFill="1" applyBorder="1" applyAlignment="1">
      <alignment horizontal="center"/>
    </xf>
    <xf numFmtId="168" fontId="3" fillId="0" borderId="35" xfId="0" applyNumberFormat="1" applyFont="1" applyBorder="1" applyAlignment="1">
      <alignment horizontal="right"/>
    </xf>
    <xf numFmtId="168" fontId="6" fillId="0" borderId="35" xfId="0" applyNumberFormat="1" applyFont="1" applyBorder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 quotePrefix="1">
      <alignment/>
    </xf>
    <xf numFmtId="2" fontId="12" fillId="0" borderId="35" xfId="0" applyNumberFormat="1" applyFont="1" applyBorder="1" applyAlignment="1">
      <alignment/>
    </xf>
    <xf numFmtId="1" fontId="12" fillId="0" borderId="33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0" fontId="0" fillId="0" borderId="45" xfId="0" applyBorder="1" applyAlignment="1">
      <alignment horizontal="center"/>
    </xf>
    <xf numFmtId="0" fontId="0" fillId="0" borderId="26" xfId="0" applyBorder="1" applyAlignment="1">
      <alignment wrapText="1"/>
    </xf>
    <xf numFmtId="0" fontId="3" fillId="0" borderId="37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6" fillId="0" borderId="76" xfId="0" applyFont="1" applyFill="1" applyBorder="1" applyAlignment="1">
      <alignment horizontal="center" wrapText="1"/>
    </xf>
    <xf numFmtId="167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0" fontId="6" fillId="2" borderId="43" xfId="0" applyFont="1" applyFill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0" fontId="3" fillId="0" borderId="53" xfId="0" applyFont="1" applyBorder="1" applyAlignment="1">
      <alignment horizontal="left"/>
    </xf>
    <xf numFmtId="14" fontId="3" fillId="0" borderId="0" xfId="0" applyNumberFormat="1" applyFont="1" applyAlignment="1">
      <alignment/>
    </xf>
    <xf numFmtId="167" fontId="6" fillId="0" borderId="26" xfId="0" applyNumberFormat="1" applyFont="1" applyBorder="1" applyAlignment="1">
      <alignment horizontal="center"/>
    </xf>
    <xf numFmtId="167" fontId="6" fillId="0" borderId="35" xfId="0" applyNumberFormat="1" applyFont="1" applyFill="1" applyBorder="1" applyAlignment="1">
      <alignment horizontal="left"/>
    </xf>
    <xf numFmtId="0" fontId="15" fillId="0" borderId="25" xfId="22" applyFont="1" applyBorder="1" applyAlignment="1">
      <alignment horizontal="center"/>
      <protection/>
    </xf>
    <xf numFmtId="0" fontId="1" fillId="0" borderId="43" xfId="0" applyFont="1" applyBorder="1" applyAlignment="1">
      <alignment horizontal="center" wrapText="1"/>
    </xf>
    <xf numFmtId="0" fontId="1" fillId="0" borderId="82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168" fontId="3" fillId="0" borderId="83" xfId="0" applyNumberFormat="1" applyFont="1" applyFill="1" applyBorder="1" applyAlignment="1">
      <alignment horizontal="center" wrapText="1"/>
    </xf>
    <xf numFmtId="168" fontId="0" fillId="0" borderId="84" xfId="0" applyNumberForma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3" fillId="0" borderId="86" xfId="0" applyFont="1" applyBorder="1" applyAlignment="1">
      <alignment horizontal="center" wrapText="1"/>
    </xf>
    <xf numFmtId="0" fontId="1" fillId="0" borderId="43" xfId="0" applyFont="1" applyBorder="1" applyAlignment="1">
      <alignment wrapText="1"/>
    </xf>
    <xf numFmtId="0" fontId="1" fillId="0" borderId="82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87" xfId="0" applyBorder="1" applyAlignment="1">
      <alignment/>
    </xf>
    <xf numFmtId="0" fontId="1" fillId="0" borderId="88" xfId="0" applyFont="1" applyBorder="1" applyAlignment="1">
      <alignment horizontal="center" wrapText="1"/>
    </xf>
    <xf numFmtId="0" fontId="1" fillId="0" borderId="86" xfId="0" applyFont="1" applyBorder="1" applyAlignment="1">
      <alignment horizontal="center" wrapText="1"/>
    </xf>
    <xf numFmtId="0" fontId="4" fillId="0" borderId="89" xfId="0" applyNumberFormat="1" applyFont="1" applyBorder="1" applyAlignment="1">
      <alignment horizontal="center" wrapText="1"/>
    </xf>
    <xf numFmtId="0" fontId="0" fillId="0" borderId="72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6" fillId="0" borderId="9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7" xfId="0" applyBorder="1" applyAlignment="1">
      <alignment horizontal="center"/>
    </xf>
    <xf numFmtId="0" fontId="3" fillId="0" borderId="91" xfId="0" applyFont="1" applyFill="1" applyBorder="1" applyAlignment="1">
      <alignment horizontal="center" wrapText="1"/>
    </xf>
    <xf numFmtId="0" fontId="3" fillId="0" borderId="88" xfId="0" applyFont="1" applyFill="1" applyBorder="1" applyAlignment="1">
      <alignment horizontal="center" wrapText="1"/>
    </xf>
    <xf numFmtId="0" fontId="0" fillId="0" borderId="91" xfId="0" applyFill="1" applyBorder="1" applyAlignment="1">
      <alignment horizontal="center" wrapText="1"/>
    </xf>
    <xf numFmtId="0" fontId="0" fillId="0" borderId="92" xfId="0" applyFill="1" applyBorder="1" applyAlignment="1">
      <alignment horizontal="center" wrapText="1"/>
    </xf>
    <xf numFmtId="0" fontId="3" fillId="0" borderId="91" xfId="0" applyFont="1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3" fillId="0" borderId="88" xfId="0" applyFont="1" applyBorder="1" applyAlignment="1">
      <alignment horizontal="center" wrapText="1"/>
    </xf>
    <xf numFmtId="0" fontId="15" fillId="0" borderId="13" xfId="22" applyFont="1" applyBorder="1" applyAlignment="1">
      <alignment horizontal="center"/>
      <protection/>
    </xf>
    <xf numFmtId="0" fontId="9" fillId="0" borderId="1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5" borderId="80" xfId="0" applyFont="1" applyFill="1" applyBorder="1" applyAlignment="1">
      <alignment horizontal="center" wrapText="1"/>
    </xf>
    <xf numFmtId="0" fontId="3" fillId="5" borderId="66" xfId="0" applyFont="1" applyFill="1" applyBorder="1" applyAlignment="1">
      <alignment horizontal="center"/>
    </xf>
    <xf numFmtId="0" fontId="9" fillId="5" borderId="49" xfId="0" applyFont="1" applyFill="1" applyBorder="1" applyAlignment="1">
      <alignment horizontal="center" wrapText="1"/>
    </xf>
    <xf numFmtId="0" fontId="3" fillId="5" borderId="51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0" fontId="6" fillId="8" borderId="75" xfId="0" applyFont="1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6" fillId="9" borderId="56" xfId="0" applyFont="1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9" borderId="58" xfId="0" applyFill="1" applyBorder="1" applyAlignment="1">
      <alignment horizontal="center"/>
    </xf>
    <xf numFmtId="0" fontId="9" fillId="5" borderId="49" xfId="16" applyNumberFormat="1" applyFont="1" applyFill="1" applyBorder="1" applyAlignment="1">
      <alignment horizontal="center" wrapText="1"/>
    </xf>
    <xf numFmtId="0" fontId="3" fillId="5" borderId="51" xfId="16" applyNumberFormat="1" applyFont="1" applyFill="1" applyBorder="1" applyAlignment="1">
      <alignment horizontal="center"/>
    </xf>
    <xf numFmtId="0" fontId="9" fillId="5" borderId="61" xfId="0" applyFont="1" applyFill="1" applyBorder="1" applyAlignment="1">
      <alignment horizontal="center" wrapText="1"/>
    </xf>
    <xf numFmtId="0" fontId="3" fillId="5" borderId="63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9" fillId="0" borderId="49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9" fillId="0" borderId="89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/>
    </xf>
    <xf numFmtId="0" fontId="9" fillId="0" borderId="93" xfId="0" applyFont="1" applyFill="1" applyBorder="1" applyAlignment="1">
      <alignment horizontal="left" wrapText="1"/>
    </xf>
    <xf numFmtId="0" fontId="3" fillId="0" borderId="81" xfId="0" applyFont="1" applyFill="1" applyBorder="1" applyAlignment="1">
      <alignment horizontal="left" wrapText="1"/>
    </xf>
    <xf numFmtId="0" fontId="9" fillId="0" borderId="47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/>
    </xf>
    <xf numFmtId="0" fontId="9" fillId="0" borderId="93" xfId="0" applyFont="1" applyFill="1" applyBorder="1" applyAlignment="1">
      <alignment horizontal="center" wrapText="1"/>
    </xf>
    <xf numFmtId="0" fontId="3" fillId="0" borderId="81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10">
    <cellStyle name="Normal" xfId="0"/>
    <cellStyle name="archive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TR and NTR" xfId="22"/>
    <cellStyle name="Percent" xfId="23"/>
  </cellStyles>
  <dxfs count="2">
    <dxf>
      <fill>
        <patternFill>
          <bgColor rgb="FFCCFFFF"/>
        </patternFill>
      </fill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104775</xdr:rowOff>
    </xdr:from>
    <xdr:to>
      <xdr:col>20</xdr:col>
      <xdr:colOff>0</xdr:colOff>
      <xdr:row>3</xdr:row>
      <xdr:rowOff>171450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21536025" y="173355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Top left corner of inserted data goes here.
Data MUST be in two-column format 
("&lt;" if ND in left column, data or detection limit in right column).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0</xdr:colOff>
      <xdr:row>10</xdr:row>
      <xdr:rowOff>104775</xdr:rowOff>
    </xdr:from>
    <xdr:to>
      <xdr:col>42</xdr:col>
      <xdr:colOff>0</xdr:colOff>
      <xdr:row>10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640175" y="1409700"/>
          <a:ext cx="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Top left corner of inserted data goes here.
Data MUST be in two-column format 
("&lt;" if ND in left column, data or detection limit in right column).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N's%20stuff\San%20Mateo%20City\San%20Mateo%20Data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PLANT\1996JU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IG1095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PLANT\EXCEL\ARCHIVE\1995DE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SUMMARY\1997sum_b&amp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FORMS\AWKSR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 Avg WCL"/>
      <sheetName val="Metals"/>
      <sheetName val="BOD"/>
      <sheetName val="Coli"/>
      <sheetName val="NH3"/>
      <sheetName val="Sett Mat pH"/>
      <sheetName val="Temp DO"/>
      <sheetName val="Toxicity"/>
      <sheetName val="Turb Cl2"/>
      <sheetName val="TS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CT0696"/>
      <sheetName val="BIO0696"/>
      <sheetName val="CL20696"/>
      <sheetName val="DGEF06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G109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CT1295"/>
    </sheetNames>
    <sheetDataSet>
      <sheetData sheetId="0">
        <row r="9">
          <cell r="B9">
            <v>1250</v>
          </cell>
          <cell r="J9">
            <v>80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OW"/>
      <sheetName val="RAIN_FLOW"/>
      <sheetName val="GT_DAFTS"/>
      <sheetName val="VF_SLD"/>
      <sheetName val="DGFD_AN"/>
      <sheetName val="DGFD_LD"/>
      <sheetName val="DIG_AN"/>
      <sheetName val="AD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CT"/>
      <sheetName val="BIOA"/>
      <sheetName val="CL2"/>
      <sheetName val="EFFC"/>
      <sheetName val="EFFG"/>
      <sheetName val="EFSO"/>
      <sheetName val="IN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52"/>
  <sheetViews>
    <sheetView workbookViewId="0" topLeftCell="A1">
      <pane xSplit="3" ySplit="10" topLeftCell="D11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137" sqref="B137"/>
    </sheetView>
  </sheetViews>
  <sheetFormatPr defaultColWidth="9.140625" defaultRowHeight="12.75"/>
  <cols>
    <col min="1" max="1" width="8.421875" style="0" customWidth="1"/>
    <col min="2" max="2" width="22.8515625" style="0" customWidth="1"/>
    <col min="3" max="3" width="10.421875" style="314" customWidth="1"/>
    <col min="4" max="4" width="11.00390625" style="374" bestFit="1" customWidth="1"/>
    <col min="5" max="5" width="10.57421875" style="374" bestFit="1" customWidth="1"/>
    <col min="6" max="6" width="9.421875" style="374" bestFit="1" customWidth="1"/>
    <col min="7" max="7" width="6.421875" style="0" customWidth="1"/>
    <col min="8" max="8" width="6.140625" style="0" customWidth="1"/>
    <col min="9" max="10" width="6.421875" style="0" customWidth="1"/>
    <col min="11" max="12" width="4.421875" style="0" customWidth="1"/>
    <col min="13" max="15" width="4.57421875" style="0" customWidth="1"/>
    <col min="16" max="16" width="5.421875" style="0" customWidth="1"/>
    <col min="17" max="17" width="6.421875" style="0" customWidth="1"/>
    <col min="18" max="18" width="7.421875" style="0" customWidth="1"/>
    <col min="19" max="19" width="6.00390625" style="0" customWidth="1"/>
    <col min="20" max="20" width="7.140625" style="0" customWidth="1"/>
    <col min="21" max="21" width="10.8515625" style="0" customWidth="1"/>
    <col min="22" max="22" width="10.00390625" style="0" customWidth="1"/>
    <col min="23" max="24" width="6.140625" style="3" customWidth="1"/>
    <col min="25" max="25" width="6.00390625" style="3" customWidth="1"/>
    <col min="26" max="26" width="6.57421875" style="3" customWidth="1"/>
    <col min="27" max="28" width="8.8515625" style="0" customWidth="1"/>
    <col min="29" max="30" width="7.421875" style="0" customWidth="1"/>
    <col min="31" max="31" width="9.57421875" style="0" customWidth="1"/>
    <col min="32" max="32" width="10.421875" style="0" customWidth="1"/>
    <col min="33" max="34" width="8.8515625" style="0" customWidth="1"/>
    <col min="35" max="35" width="30.7109375" style="0" bestFit="1" customWidth="1"/>
    <col min="36" max="38" width="8.8515625" style="0" customWidth="1"/>
    <col min="39" max="39" width="0.85546875" style="0" customWidth="1"/>
    <col min="40" max="16384" width="8.8515625" style="0" customWidth="1"/>
  </cols>
  <sheetData>
    <row r="1" spans="2:7" ht="12.75">
      <c r="B1" s="1" t="s">
        <v>36</v>
      </c>
      <c r="C1" s="301" t="s">
        <v>37</v>
      </c>
      <c r="G1" s="2"/>
    </row>
    <row r="2" spans="2:7" ht="12.75">
      <c r="B2" s="1" t="s">
        <v>38</v>
      </c>
      <c r="C2" s="301">
        <v>59</v>
      </c>
      <c r="G2" s="2" t="s">
        <v>39</v>
      </c>
    </row>
    <row r="3" spans="2:7" ht="12.75">
      <c r="B3" s="1" t="s">
        <v>40</v>
      </c>
      <c r="C3" s="301">
        <v>7.4</v>
      </c>
      <c r="G3" s="2"/>
    </row>
    <row r="4" spans="2:7" ht="12.75">
      <c r="B4" s="4" t="s">
        <v>41</v>
      </c>
      <c r="C4" s="302"/>
      <c r="G4" s="2"/>
    </row>
    <row r="5" spans="2:7" ht="12.75">
      <c r="B5" s="4" t="s">
        <v>42</v>
      </c>
      <c r="C5" s="302"/>
      <c r="G5" s="2"/>
    </row>
    <row r="6" spans="2:7" ht="13.5" thickBot="1">
      <c r="B6" s="4"/>
      <c r="C6" s="302"/>
      <c r="G6" s="2"/>
    </row>
    <row r="7" spans="1:22" ht="13.5" thickBot="1">
      <c r="A7" s="5"/>
      <c r="B7" s="6"/>
      <c r="C7" s="443" t="s">
        <v>43</v>
      </c>
      <c r="D7" s="375"/>
      <c r="E7" s="375"/>
      <c r="F7" s="375"/>
      <c r="G7" s="365" t="s">
        <v>44</v>
      </c>
      <c r="H7" s="366"/>
      <c r="I7" s="439" t="s">
        <v>364</v>
      </c>
      <c r="J7" s="439"/>
      <c r="K7" s="439"/>
      <c r="L7" s="439"/>
      <c r="M7" s="439"/>
      <c r="N7" s="439"/>
      <c r="O7" s="439"/>
      <c r="P7" s="440"/>
      <c r="Q7" s="446" t="s">
        <v>45</v>
      </c>
      <c r="R7" s="447"/>
      <c r="S7" s="447"/>
      <c r="T7" s="447"/>
      <c r="U7" s="447"/>
      <c r="V7" s="448"/>
    </row>
    <row r="8" spans="1:78" ht="24" customHeight="1" thickTop="1">
      <c r="A8" s="7"/>
      <c r="B8" s="8"/>
      <c r="C8" s="444"/>
      <c r="D8" s="431" t="s">
        <v>315</v>
      </c>
      <c r="E8" s="431" t="s">
        <v>314</v>
      </c>
      <c r="F8" s="431" t="s">
        <v>313</v>
      </c>
      <c r="G8" s="449" t="s">
        <v>46</v>
      </c>
      <c r="H8" s="449"/>
      <c r="I8" s="450" t="s">
        <v>47</v>
      </c>
      <c r="J8" s="451"/>
      <c r="K8" s="451"/>
      <c r="L8" s="452"/>
      <c r="M8" s="453" t="s">
        <v>25</v>
      </c>
      <c r="N8" s="454"/>
      <c r="O8" s="454"/>
      <c r="P8" s="455"/>
      <c r="Q8" s="456" t="s">
        <v>48</v>
      </c>
      <c r="R8" s="434"/>
      <c r="S8" s="433" t="s">
        <v>49</v>
      </c>
      <c r="T8" s="434"/>
      <c r="U8" s="433" t="s">
        <v>50</v>
      </c>
      <c r="V8" s="435"/>
      <c r="W8" s="436" t="s">
        <v>51</v>
      </c>
      <c r="X8" s="437"/>
      <c r="Y8" s="437"/>
      <c r="Z8" s="438"/>
      <c r="AA8" s="428" t="s">
        <v>52</v>
      </c>
      <c r="AB8" s="429"/>
      <c r="AC8" s="429"/>
      <c r="AD8" s="430"/>
      <c r="AE8" s="441" t="s">
        <v>53</v>
      </c>
      <c r="AF8" s="442"/>
      <c r="AG8" s="9"/>
      <c r="AH8" s="9"/>
      <c r="AI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</row>
    <row r="9" spans="1:42" ht="45.75" thickBot="1">
      <c r="A9" s="10" t="s">
        <v>54</v>
      </c>
      <c r="B9" s="11" t="s">
        <v>55</v>
      </c>
      <c r="C9" s="445"/>
      <c r="D9" s="432"/>
      <c r="E9" s="432"/>
      <c r="F9" s="432"/>
      <c r="G9" s="12" t="s">
        <v>56</v>
      </c>
      <c r="H9" s="13" t="s">
        <v>57</v>
      </c>
      <c r="I9" s="12" t="s">
        <v>58</v>
      </c>
      <c r="J9" s="14" t="s">
        <v>59</v>
      </c>
      <c r="K9" s="14" t="s">
        <v>60</v>
      </c>
      <c r="L9" s="15" t="s">
        <v>26</v>
      </c>
      <c r="M9" s="16" t="s">
        <v>61</v>
      </c>
      <c r="N9" s="14" t="s">
        <v>59</v>
      </c>
      <c r="O9" s="14" t="s">
        <v>60</v>
      </c>
      <c r="P9" s="17" t="s">
        <v>26</v>
      </c>
      <c r="Q9" s="12" t="s">
        <v>62</v>
      </c>
      <c r="R9" s="14" t="s">
        <v>63</v>
      </c>
      <c r="S9" s="16" t="s">
        <v>62</v>
      </c>
      <c r="T9" s="14" t="s">
        <v>63</v>
      </c>
      <c r="U9" s="16" t="s">
        <v>64</v>
      </c>
      <c r="V9" s="17" t="s">
        <v>65</v>
      </c>
      <c r="W9" s="18" t="s">
        <v>66</v>
      </c>
      <c r="X9" s="19" t="s">
        <v>67</v>
      </c>
      <c r="Y9" s="19" t="s">
        <v>68</v>
      </c>
      <c r="Z9" s="20" t="s">
        <v>69</v>
      </c>
      <c r="AA9" s="21" t="s">
        <v>70</v>
      </c>
      <c r="AB9" s="22" t="s">
        <v>71</v>
      </c>
      <c r="AC9" s="22" t="s">
        <v>72</v>
      </c>
      <c r="AD9" s="23" t="s">
        <v>73</v>
      </c>
      <c r="AE9" s="24" t="s">
        <v>74</v>
      </c>
      <c r="AF9" s="25" t="s">
        <v>75</v>
      </c>
      <c r="AH9" s="412"/>
      <c r="AI9" s="412"/>
      <c r="AJ9" s="412"/>
      <c r="AK9" s="412"/>
      <c r="AL9" s="412"/>
      <c r="AM9" s="412"/>
      <c r="AN9" s="412"/>
      <c r="AO9" s="412"/>
      <c r="AP9" s="412"/>
    </row>
    <row r="10" spans="1:78" ht="13.5" thickBot="1">
      <c r="A10" s="26"/>
      <c r="B10" s="27"/>
      <c r="C10" s="303" t="s">
        <v>76</v>
      </c>
      <c r="D10" s="376" t="s">
        <v>76</v>
      </c>
      <c r="E10" s="376" t="s">
        <v>76</v>
      </c>
      <c r="F10" s="376" t="s">
        <v>76</v>
      </c>
      <c r="G10" s="28" t="s">
        <v>76</v>
      </c>
      <c r="H10" s="29" t="s">
        <v>76</v>
      </c>
      <c r="I10" s="28" t="s">
        <v>76</v>
      </c>
      <c r="J10" s="30" t="s">
        <v>76</v>
      </c>
      <c r="K10" s="30" t="s">
        <v>76</v>
      </c>
      <c r="L10" s="31" t="s">
        <v>76</v>
      </c>
      <c r="M10" s="32" t="s">
        <v>76</v>
      </c>
      <c r="N10" s="30" t="s">
        <v>76</v>
      </c>
      <c r="O10" s="30" t="s">
        <v>76</v>
      </c>
      <c r="P10" s="33" t="s">
        <v>76</v>
      </c>
      <c r="Q10" s="28" t="s">
        <v>76</v>
      </c>
      <c r="R10" s="30" t="s">
        <v>76</v>
      </c>
      <c r="S10" s="32" t="s">
        <v>76</v>
      </c>
      <c r="T10" s="30" t="s">
        <v>76</v>
      </c>
      <c r="U10" s="32" t="s">
        <v>76</v>
      </c>
      <c r="V10" s="33" t="s">
        <v>76</v>
      </c>
      <c r="W10" s="34"/>
      <c r="X10" s="35"/>
      <c r="Y10" s="35"/>
      <c r="Z10" s="36"/>
      <c r="AA10" s="37"/>
      <c r="AB10" s="38"/>
      <c r="AC10" s="38"/>
      <c r="AD10" s="39"/>
      <c r="AE10" s="40"/>
      <c r="AF10" s="41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</row>
    <row r="11" spans="1:42" ht="12.75">
      <c r="A11" s="43">
        <v>1</v>
      </c>
      <c r="B11" s="44" t="s">
        <v>77</v>
      </c>
      <c r="C11" s="304">
        <f>IF(MIN(D11:V11)=0,"No Criteria",MIN(D11:V11))</f>
        <v>4300</v>
      </c>
      <c r="D11" s="377">
        <f>IF(SUM(U11:V11)=0,"",MIN(U11:V11))</f>
        <v>4300</v>
      </c>
      <c r="E11" s="378"/>
      <c r="F11" s="378"/>
      <c r="G11" s="45"/>
      <c r="H11" s="44"/>
      <c r="I11" s="45"/>
      <c r="J11" s="46"/>
      <c r="K11" s="46"/>
      <c r="L11" s="47"/>
      <c r="M11" s="48"/>
      <c r="N11" s="49"/>
      <c r="O11" s="49"/>
      <c r="P11" s="50"/>
      <c r="Q11" s="51"/>
      <c r="R11" s="49"/>
      <c r="S11" s="52"/>
      <c r="T11" s="49"/>
      <c r="U11" s="53"/>
      <c r="V11" s="54">
        <v>4300</v>
      </c>
      <c r="W11" s="55"/>
      <c r="X11" s="56"/>
      <c r="Y11" s="56"/>
      <c r="Z11" s="57"/>
      <c r="AA11" s="58"/>
      <c r="AB11" s="59"/>
      <c r="AC11" s="59"/>
      <c r="AD11" s="60"/>
      <c r="AE11" s="45"/>
      <c r="AF11" s="61"/>
      <c r="AL11" s="413"/>
      <c r="AM11" s="413"/>
      <c r="AP11" s="413"/>
    </row>
    <row r="12" spans="1:42" ht="12.75">
      <c r="A12" s="62">
        <v>2</v>
      </c>
      <c r="B12" s="63" t="s">
        <v>78</v>
      </c>
      <c r="C12" s="305">
        <f>IF($C$1="Y",IF(MIN(D12:P12)=0," No Criteria",MIN(D12:P12)),IF(MIN(D12:V12)=0,"No Criteria",MIN(D12:V12)))</f>
        <v>36</v>
      </c>
      <c r="D12" s="377">
        <f>IF(SUM(U12:V12)=0,"",MIN(U12:V12))</f>
      </c>
      <c r="E12" s="377">
        <f>IF(SUM(I12,K12,M12,O12,R12,T12)=0,"",MIN(I12,K12,M12,O12,R12,T12))</f>
        <v>36</v>
      </c>
      <c r="F12" s="377">
        <f>IF(SUM(J12,L12,N12,P12,Q12,S12)=0,"",MIN(J12,L12,N12,P12,Q12,S12))</f>
        <v>69</v>
      </c>
      <c r="G12" s="64"/>
      <c r="H12" s="65"/>
      <c r="I12" s="69">
        <v>150</v>
      </c>
      <c r="J12" s="67">
        <v>340</v>
      </c>
      <c r="K12" s="67"/>
      <c r="L12" s="68"/>
      <c r="M12" s="69">
        <v>36</v>
      </c>
      <c r="N12" s="70">
        <v>69</v>
      </c>
      <c r="O12" s="70"/>
      <c r="P12" s="71"/>
      <c r="Q12" s="190">
        <f>340/AA12</f>
        <v>340</v>
      </c>
      <c r="R12" s="191">
        <f>150/AB12</f>
        <v>150</v>
      </c>
      <c r="S12" s="192">
        <f>69/AC12</f>
        <v>69</v>
      </c>
      <c r="T12" s="191">
        <f>36/AD12</f>
        <v>36</v>
      </c>
      <c r="U12" s="72"/>
      <c r="V12" s="73"/>
      <c r="W12" s="74"/>
      <c r="X12" s="75"/>
      <c r="Y12" s="75"/>
      <c r="Z12" s="76"/>
      <c r="AA12" s="77">
        <v>1</v>
      </c>
      <c r="AB12" s="78">
        <v>1</v>
      </c>
      <c r="AC12" s="78">
        <v>1</v>
      </c>
      <c r="AD12" s="79">
        <v>1</v>
      </c>
      <c r="AE12" s="77"/>
      <c r="AF12" s="79"/>
      <c r="AL12" s="413"/>
      <c r="AM12" s="413"/>
      <c r="AP12" s="413"/>
    </row>
    <row r="13" spans="1:42" ht="12.75">
      <c r="A13" s="62">
        <v>3</v>
      </c>
      <c r="B13" s="63" t="s">
        <v>79</v>
      </c>
      <c r="C13" s="306" t="str">
        <f>IF(MIN(D13:V13)=0,"No Criteria",MIN(D13:V13))</f>
        <v>No Criteria</v>
      </c>
      <c r="D13" s="377">
        <f aca="true" t="shared" si="0" ref="D13:D76">IF(SUM(U13:V13)=0,"",MIN(U13:V13))</f>
      </c>
      <c r="E13" s="377">
        <f aca="true" t="shared" si="1" ref="E13:E76">IF(SUM(I13,K13,M13,O13,R13,T13)=0,"",MIN(I13,K13,M13,O13,R13,T13))</f>
      </c>
      <c r="F13" s="377">
        <f aca="true" t="shared" si="2" ref="F13:F76">IF(SUM(J13,L13,N13,P13,Q13,S13)=0,"",MIN(J13,L13,N13,P13,Q13,S13))</f>
      </c>
      <c r="G13" s="64"/>
      <c r="H13" s="80"/>
      <c r="I13" s="81"/>
      <c r="J13" s="82"/>
      <c r="K13" s="82"/>
      <c r="L13" s="83"/>
      <c r="M13" s="84"/>
      <c r="N13" s="70"/>
      <c r="O13" s="70"/>
      <c r="P13" s="71"/>
      <c r="Q13" s="66"/>
      <c r="R13" s="67"/>
      <c r="S13" s="69"/>
      <c r="T13" s="67"/>
      <c r="U13" s="69"/>
      <c r="V13" s="73"/>
      <c r="W13" s="74"/>
      <c r="X13" s="75"/>
      <c r="Y13" s="75"/>
      <c r="Z13" s="76"/>
      <c r="AA13" s="85"/>
      <c r="AB13" s="86"/>
      <c r="AC13" s="86"/>
      <c r="AD13" s="87"/>
      <c r="AE13" s="77"/>
      <c r="AF13" s="79"/>
      <c r="AL13" s="413"/>
      <c r="AM13" s="413"/>
      <c r="AP13" s="413"/>
    </row>
    <row r="14" spans="1:42" ht="12.75">
      <c r="A14" s="88">
        <v>4</v>
      </c>
      <c r="B14" s="89" t="s">
        <v>80</v>
      </c>
      <c r="C14" s="305">
        <f>IF($C$1="Y",IF(MIN(D14:P14)=0," No Criteria",MIN(D14:P14)),IF(MIN(D14:V14)=0,"No Criteria",MIN(D14:V14)))</f>
        <v>1.6269098223111504</v>
      </c>
      <c r="D14" s="377">
        <f t="shared" si="0"/>
      </c>
      <c r="E14" s="377">
        <f t="shared" si="1"/>
        <v>1.6269098223111504</v>
      </c>
      <c r="F14" s="377">
        <f t="shared" si="2"/>
        <v>2.491194306687915</v>
      </c>
      <c r="G14" s="77"/>
      <c r="H14" s="90"/>
      <c r="I14" s="188">
        <v>1.6269098223111504</v>
      </c>
      <c r="J14" s="189">
        <v>2.491194306687915</v>
      </c>
      <c r="K14" s="91"/>
      <c r="L14" s="92"/>
      <c r="M14" s="93">
        <v>9.356136820925554</v>
      </c>
      <c r="N14" s="94">
        <v>42.25352112676056</v>
      </c>
      <c r="O14" s="94"/>
      <c r="P14" s="95"/>
      <c r="Q14" s="188">
        <f>EXP(W14*(LN($C$2))+X14)</f>
        <v>2.491194306687915</v>
      </c>
      <c r="R14" s="193">
        <f>(EXP(Y14*(LN($C$2))+Z14))</f>
        <v>1.6269098223111504</v>
      </c>
      <c r="S14" s="193">
        <f>42/AC14</f>
        <v>42.25352112676056</v>
      </c>
      <c r="T14" s="193">
        <f>9.3/AD14</f>
        <v>9.356136820925554</v>
      </c>
      <c r="U14" s="96"/>
      <c r="V14" s="97"/>
      <c r="W14" s="98">
        <v>1.128</v>
      </c>
      <c r="X14" s="99">
        <v>-3.6867</v>
      </c>
      <c r="Y14" s="99">
        <v>0.7852</v>
      </c>
      <c r="Z14" s="100">
        <v>-2.715</v>
      </c>
      <c r="AA14" s="186">
        <f>1.136672-((LN($C$2))*0.041838)</f>
        <v>0.9660759884218724</v>
      </c>
      <c r="AB14" s="187">
        <f>1.101672-((LN($C$2))*0.041838)</f>
        <v>0.9310759884218724</v>
      </c>
      <c r="AC14" s="78">
        <v>0.994</v>
      </c>
      <c r="AD14" s="79">
        <v>0.994</v>
      </c>
      <c r="AE14" s="77"/>
      <c r="AF14" s="79"/>
      <c r="AL14" s="413"/>
      <c r="AM14" s="413"/>
      <c r="AP14" s="413"/>
    </row>
    <row r="15" spans="1:42" ht="12.75">
      <c r="A15" s="88" t="s">
        <v>81</v>
      </c>
      <c r="B15" s="89" t="s">
        <v>82</v>
      </c>
      <c r="C15" s="307">
        <f>IF(MIN(D15:V15)=0,"  No Criteria",MIN(D15:V15))</f>
        <v>134.35736681362496</v>
      </c>
      <c r="D15" s="377">
        <f t="shared" si="0"/>
      </c>
      <c r="E15" s="377">
        <f t="shared" si="1"/>
        <v>134.35736681362496</v>
      </c>
      <c r="F15" s="377">
        <f t="shared" si="2"/>
        <v>1127.2126314450197</v>
      </c>
      <c r="G15" s="77"/>
      <c r="H15" s="90"/>
      <c r="I15" s="102"/>
      <c r="J15" s="91"/>
      <c r="K15" s="91"/>
      <c r="L15" s="92"/>
      <c r="M15" s="93"/>
      <c r="N15" s="94"/>
      <c r="O15" s="94"/>
      <c r="P15" s="95"/>
      <c r="Q15" s="194">
        <f>(EXP(W15*(LN($C$2))+X15))</f>
        <v>1127.2126314450197</v>
      </c>
      <c r="R15" s="193">
        <f>(EXP(Y15*(LN($C$2))+Z15))</f>
        <v>134.35736681362496</v>
      </c>
      <c r="S15" s="103"/>
      <c r="T15" s="104"/>
      <c r="U15" s="105"/>
      <c r="V15" s="97"/>
      <c r="W15" s="106">
        <v>0.819</v>
      </c>
      <c r="X15" s="99">
        <v>3.688</v>
      </c>
      <c r="Y15" s="99">
        <v>0.819</v>
      </c>
      <c r="Z15" s="107">
        <v>1.561</v>
      </c>
      <c r="AA15" s="77">
        <v>0.316</v>
      </c>
      <c r="AB15" s="78">
        <v>0.86</v>
      </c>
      <c r="AC15" s="78"/>
      <c r="AD15" s="79"/>
      <c r="AE15" s="77"/>
      <c r="AF15" s="79"/>
      <c r="AL15" s="413"/>
      <c r="AM15" s="413"/>
      <c r="AP15" s="413"/>
    </row>
    <row r="16" spans="1:42" ht="12.75">
      <c r="A16" s="88" t="s">
        <v>83</v>
      </c>
      <c r="B16" s="108" t="s">
        <v>84</v>
      </c>
      <c r="C16" s="305">
        <f>IF($C$1="Y",IF(MIN(D16:P16)=0," No Criteria",MIN(D16:P16)),IF(MIN(D16:V16)=0,"No Criteria",MIN(D16:V16)))</f>
        <v>11.434511434511435</v>
      </c>
      <c r="D16" s="377">
        <f t="shared" si="0"/>
      </c>
      <c r="E16" s="377">
        <f t="shared" si="1"/>
        <v>11.434511434511435</v>
      </c>
      <c r="F16" s="377">
        <f t="shared" si="2"/>
        <v>16.293279022403258</v>
      </c>
      <c r="G16" s="109"/>
      <c r="H16" s="110"/>
      <c r="I16" s="111">
        <v>11.434511434511435</v>
      </c>
      <c r="J16" s="112">
        <v>16.293279022403258</v>
      </c>
      <c r="K16" s="112"/>
      <c r="L16" s="113"/>
      <c r="M16" s="114">
        <v>50.35246727089628</v>
      </c>
      <c r="N16" s="94">
        <v>1107.7542799597181</v>
      </c>
      <c r="O16" s="94"/>
      <c r="P16" s="95"/>
      <c r="Q16" s="195">
        <f>16/AA16</f>
        <v>16.293279022403258</v>
      </c>
      <c r="R16" s="196">
        <f>11/AB16</f>
        <v>11.434511434511435</v>
      </c>
      <c r="S16" s="197">
        <f>1100/AC16</f>
        <v>1107.7542799597181</v>
      </c>
      <c r="T16" s="196">
        <f>50/AD16</f>
        <v>50.35246727089628</v>
      </c>
      <c r="U16" s="115"/>
      <c r="V16" s="116"/>
      <c r="W16" s="106"/>
      <c r="X16" s="99"/>
      <c r="Y16" s="99"/>
      <c r="Z16" s="107"/>
      <c r="AA16" s="77">
        <v>0.982</v>
      </c>
      <c r="AB16" s="78">
        <v>0.962</v>
      </c>
      <c r="AC16" s="78">
        <v>0.993</v>
      </c>
      <c r="AD16" s="79">
        <v>0.993</v>
      </c>
      <c r="AE16" s="77"/>
      <c r="AF16" s="79"/>
      <c r="AL16" s="413"/>
      <c r="AM16" s="413"/>
      <c r="AP16" s="413"/>
    </row>
    <row r="17" spans="1:42" ht="12.75">
      <c r="A17" s="88">
        <v>6</v>
      </c>
      <c r="B17" s="89" t="s">
        <v>85</v>
      </c>
      <c r="C17" s="307">
        <f>IF(MIN(D17:V17)=0,"  No Criteria",MIN(D17:V17))</f>
        <v>3.734939759036145</v>
      </c>
      <c r="D17" s="377">
        <f t="shared" si="0"/>
      </c>
      <c r="E17" s="377">
        <f t="shared" si="1"/>
        <v>3.734939759036145</v>
      </c>
      <c r="F17" s="377">
        <f t="shared" si="2"/>
        <v>5.783132530120482</v>
      </c>
      <c r="G17" s="117"/>
      <c r="H17" s="118"/>
      <c r="I17" s="201">
        <v>5.943247765464374</v>
      </c>
      <c r="J17" s="202">
        <v>8.51522535699828</v>
      </c>
      <c r="K17" s="91"/>
      <c r="L17" s="92"/>
      <c r="M17" s="93">
        <v>3.734939759036145</v>
      </c>
      <c r="N17" s="119">
        <v>5.783132530120482</v>
      </c>
      <c r="O17" s="120"/>
      <c r="P17" s="121"/>
      <c r="Q17" s="194">
        <f>(EXP(W17*(LN($C$2))+X17))</f>
        <v>8.51522535699828</v>
      </c>
      <c r="R17" s="193">
        <f>(EXP(Y17*(LN($C$2))+Z17))</f>
        <v>5.943247765464374</v>
      </c>
      <c r="S17" s="189">
        <f>4.8/AC17</f>
        <v>5.783132530120482</v>
      </c>
      <c r="T17" s="189">
        <f>3.1/AD17</f>
        <v>3.734939759036145</v>
      </c>
      <c r="U17" s="105"/>
      <c r="V17" s="97"/>
      <c r="W17" s="106">
        <v>0.9422</v>
      </c>
      <c r="X17" s="99">
        <v>-1.7</v>
      </c>
      <c r="Y17" s="99">
        <v>0.8545</v>
      </c>
      <c r="Z17" s="107">
        <v>-1.702</v>
      </c>
      <c r="AA17" s="77">
        <v>0.96</v>
      </c>
      <c r="AB17" s="78">
        <v>0.96</v>
      </c>
      <c r="AC17" s="78">
        <v>0.83</v>
      </c>
      <c r="AD17" s="79">
        <v>0.83</v>
      </c>
      <c r="AE17" s="122"/>
      <c r="AF17" s="123"/>
      <c r="AL17" s="413"/>
      <c r="AM17" s="413"/>
      <c r="AP17" s="413"/>
    </row>
    <row r="18" spans="1:42" ht="12.75">
      <c r="A18" s="88">
        <v>7</v>
      </c>
      <c r="B18" s="89" t="s">
        <v>86</v>
      </c>
      <c r="C18" s="305">
        <f>IF($C$1="Y",IF(MIN(D18:P18)=0," No Criteria",MIN(D18:P18)),IF(MIN(D18:V18)=0,"No Criteria",MIN(D18:V18)))</f>
        <v>1.6253207259008415</v>
      </c>
      <c r="D18" s="377">
        <f t="shared" si="0"/>
      </c>
      <c r="E18" s="377">
        <f t="shared" si="1"/>
        <v>1.6253207259008415</v>
      </c>
      <c r="F18" s="377">
        <f t="shared" si="2"/>
        <v>41.708509222947136</v>
      </c>
      <c r="G18" s="77"/>
      <c r="H18" s="110"/>
      <c r="I18" s="188">
        <v>1.6253207259008415</v>
      </c>
      <c r="J18" s="189">
        <v>41.708509222947136</v>
      </c>
      <c r="K18" s="91"/>
      <c r="L18" s="92"/>
      <c r="M18" s="93">
        <v>8.517350157728707</v>
      </c>
      <c r="N18" s="124">
        <v>220.82018927444796</v>
      </c>
      <c r="O18" s="124"/>
      <c r="P18" s="125"/>
      <c r="Q18" s="194">
        <f>(EXP(W18*(LN($C$2))+X18))</f>
        <v>41.708509222947136</v>
      </c>
      <c r="R18" s="189">
        <f>(EXP(Y18*(LN($C$2))+Z18))</f>
        <v>1.6253207259008415</v>
      </c>
      <c r="S18" s="198">
        <f>210/AC18</f>
        <v>220.82018927444796</v>
      </c>
      <c r="T18" s="193">
        <f>8.1/AD18</f>
        <v>8.517350157728707</v>
      </c>
      <c r="U18" s="96"/>
      <c r="V18" s="97"/>
      <c r="W18" s="106">
        <v>1.273</v>
      </c>
      <c r="X18" s="99">
        <v>-1.46</v>
      </c>
      <c r="Y18" s="99">
        <v>1.273</v>
      </c>
      <c r="Z18" s="107">
        <v>-4.705</v>
      </c>
      <c r="AA18" s="186">
        <f>1.46203-((LN($C$2))*0.145712)</f>
        <v>0.8678838639736097</v>
      </c>
      <c r="AB18" s="187">
        <f>1.46203-((LN($C$2))*0.145712)</f>
        <v>0.8678838639736097</v>
      </c>
      <c r="AC18" s="78">
        <v>0.951</v>
      </c>
      <c r="AD18" s="79">
        <v>0.951</v>
      </c>
      <c r="AE18" s="77"/>
      <c r="AF18" s="79"/>
      <c r="AL18" s="413"/>
      <c r="AM18" s="413"/>
      <c r="AP18" s="413"/>
    </row>
    <row r="19" spans="1:39" ht="12.75">
      <c r="A19" s="88">
        <v>8</v>
      </c>
      <c r="B19" s="108" t="s">
        <v>87</v>
      </c>
      <c r="C19" s="305">
        <f>IF($C$1="Y",IF(MIN(D19:P19)=0," No Criteria",MIN(D19:P19)),IF(MIN(D19:V19)=0,"No Criteria",MIN(D19:V19)))</f>
        <v>0.025</v>
      </c>
      <c r="D19" s="377">
        <f t="shared" si="0"/>
        <v>0.051</v>
      </c>
      <c r="E19" s="377">
        <f t="shared" si="1"/>
        <v>0.025</v>
      </c>
      <c r="F19" s="377">
        <f t="shared" si="2"/>
        <v>2.1</v>
      </c>
      <c r="G19" s="126"/>
      <c r="H19" s="127"/>
      <c r="I19" s="128">
        <v>0.025</v>
      </c>
      <c r="J19" s="129">
        <v>2.4</v>
      </c>
      <c r="K19" s="129"/>
      <c r="L19" s="130"/>
      <c r="M19" s="131">
        <v>0.025</v>
      </c>
      <c r="N19" s="104">
        <v>2.1</v>
      </c>
      <c r="O19" s="104"/>
      <c r="P19" s="132"/>
      <c r="Q19" s="133"/>
      <c r="R19" s="120"/>
      <c r="S19" s="120"/>
      <c r="T19" s="120"/>
      <c r="U19" s="134"/>
      <c r="V19" s="135">
        <v>0.051</v>
      </c>
      <c r="W19" s="106"/>
      <c r="X19" s="99"/>
      <c r="Y19" s="99"/>
      <c r="Z19" s="107"/>
      <c r="AA19" s="77"/>
      <c r="AB19" s="78"/>
      <c r="AC19" s="78"/>
      <c r="AD19" s="79"/>
      <c r="AE19" s="77"/>
      <c r="AF19" s="79"/>
      <c r="AL19" s="413"/>
      <c r="AM19" s="413"/>
    </row>
    <row r="20" spans="1:32" ht="12.75">
      <c r="A20" s="88">
        <v>9</v>
      </c>
      <c r="B20" s="89" t="s">
        <v>88</v>
      </c>
      <c r="C20" s="305">
        <f>IF($C$1="Y",IF(MIN(D20:P20)=0," No Criteria",MIN(D20:P20)),IF(MIN(D20:V20)=0,"No Criteria",MIN(D20:V20)))</f>
        <v>8.282828282828282</v>
      </c>
      <c r="D20" s="377">
        <f t="shared" si="0"/>
        <v>4600</v>
      </c>
      <c r="E20" s="377">
        <f t="shared" si="1"/>
        <v>8.282828282828282</v>
      </c>
      <c r="F20" s="377">
        <f t="shared" si="2"/>
        <v>74.74747474747475</v>
      </c>
      <c r="G20" s="117"/>
      <c r="H20" s="127"/>
      <c r="I20" s="201">
        <v>33.38132719217008</v>
      </c>
      <c r="J20" s="202">
        <v>300.2443603323558</v>
      </c>
      <c r="K20" s="203"/>
      <c r="L20" s="204"/>
      <c r="M20" s="136">
        <v>8.282828282828282</v>
      </c>
      <c r="N20" s="86">
        <v>74.74747474747475</v>
      </c>
      <c r="O20" s="410"/>
      <c r="P20" s="411"/>
      <c r="Q20" s="194">
        <f>(EXP(W20*(LN($C$2))+X20))</f>
        <v>300.2443603323558</v>
      </c>
      <c r="R20" s="193">
        <f>(EXP(Y20*(LN($C$2))+Z20))</f>
        <v>33.38132719217008</v>
      </c>
      <c r="S20" s="198">
        <f>74/AC20</f>
        <v>74.74747474747475</v>
      </c>
      <c r="T20" s="193">
        <f>8.2/AD20</f>
        <v>8.282828282828282</v>
      </c>
      <c r="U20" s="105"/>
      <c r="V20" s="137">
        <v>4600</v>
      </c>
      <c r="W20" s="106">
        <v>0.846</v>
      </c>
      <c r="X20" s="99">
        <v>2.255</v>
      </c>
      <c r="Y20" s="99">
        <v>0.846</v>
      </c>
      <c r="Z20" s="107">
        <v>0.0584</v>
      </c>
      <c r="AA20" s="77">
        <v>0.998</v>
      </c>
      <c r="AB20" s="78">
        <v>0.997</v>
      </c>
      <c r="AC20" s="78">
        <v>0.99</v>
      </c>
      <c r="AD20" s="79">
        <v>0.99</v>
      </c>
      <c r="AE20" s="122"/>
      <c r="AF20" s="123"/>
    </row>
    <row r="21" spans="1:32" ht="12.75">
      <c r="A21" s="88">
        <v>10</v>
      </c>
      <c r="B21" s="89" t="s">
        <v>89</v>
      </c>
      <c r="C21" s="307">
        <f>IF(MIN(D21:V21)=0,"  No Criteria",MIN(D21:V21))</f>
        <v>5</v>
      </c>
      <c r="D21" s="377">
        <f t="shared" si="0"/>
      </c>
      <c r="E21" s="377">
        <f t="shared" si="1"/>
        <v>5</v>
      </c>
      <c r="F21" s="377">
        <f t="shared" si="2"/>
        <v>20</v>
      </c>
      <c r="G21" s="117"/>
      <c r="H21" s="127"/>
      <c r="I21" s="109">
        <v>5</v>
      </c>
      <c r="J21" s="138">
        <v>20</v>
      </c>
      <c r="K21" s="138"/>
      <c r="L21" s="139"/>
      <c r="M21" s="140">
        <v>5</v>
      </c>
      <c r="N21" s="120">
        <v>20</v>
      </c>
      <c r="O21" s="120"/>
      <c r="P21" s="121"/>
      <c r="Q21" s="133">
        <v>20</v>
      </c>
      <c r="R21" s="124">
        <v>5</v>
      </c>
      <c r="S21" s="198">
        <f>IF(C1="Y",20,290/AC21)</f>
        <v>20</v>
      </c>
      <c r="T21" s="196">
        <f>IF(C1="Y",5,71/AD21)</f>
        <v>5</v>
      </c>
      <c r="U21" s="115"/>
      <c r="V21" s="97"/>
      <c r="W21" s="106"/>
      <c r="X21" s="99"/>
      <c r="Y21" s="99"/>
      <c r="Z21" s="107"/>
      <c r="AA21" s="77"/>
      <c r="AB21" s="78"/>
      <c r="AC21" s="78">
        <v>0.998</v>
      </c>
      <c r="AD21" s="79">
        <v>0.88</v>
      </c>
      <c r="AE21" s="77"/>
      <c r="AF21" s="79"/>
    </row>
    <row r="22" spans="1:32" ht="12.75">
      <c r="A22" s="88">
        <v>11</v>
      </c>
      <c r="B22" s="89" t="s">
        <v>90</v>
      </c>
      <c r="C22" s="305">
        <f>IF($C$1="Y",IF(MIN(D22:P22)=0," No Criteria",MIN(D22:P22)),IF(MIN(D22:V22)=0,"No Criteria",MIN(D22:V22)))</f>
        <v>1.0674399396994791</v>
      </c>
      <c r="D22" s="377">
        <f t="shared" si="0"/>
      </c>
      <c r="E22" s="377">
        <f t="shared" si="1"/>
      </c>
      <c r="F22" s="377">
        <f t="shared" si="2"/>
        <v>1.0674399396994791</v>
      </c>
      <c r="G22" s="77"/>
      <c r="H22" s="110"/>
      <c r="I22" s="77"/>
      <c r="J22" s="91">
        <v>1.0674399396994791</v>
      </c>
      <c r="K22" s="91"/>
      <c r="L22" s="200"/>
      <c r="M22" s="140"/>
      <c r="N22" s="104">
        <v>2.235294117647059</v>
      </c>
      <c r="O22" s="104"/>
      <c r="P22" s="132"/>
      <c r="Q22" s="194">
        <f>(EXP(W22*(LN($C$2))+X22))</f>
        <v>1.637817239023041</v>
      </c>
      <c r="R22" s="104"/>
      <c r="S22" s="199">
        <f>1.9/AC22</f>
        <v>2.235294117647059</v>
      </c>
      <c r="T22" s="120"/>
      <c r="U22" s="141"/>
      <c r="V22" s="97"/>
      <c r="W22" s="106">
        <v>1.72</v>
      </c>
      <c r="X22" s="99">
        <v>-6.52</v>
      </c>
      <c r="Y22" s="99"/>
      <c r="Z22" s="107"/>
      <c r="AA22" s="77">
        <v>0.85</v>
      </c>
      <c r="AB22" s="78"/>
      <c r="AC22" s="78">
        <v>0.85</v>
      </c>
      <c r="AD22" s="79"/>
      <c r="AE22" s="77"/>
      <c r="AF22" s="79"/>
    </row>
    <row r="23" spans="1:32" ht="12.75">
      <c r="A23" s="88">
        <v>12</v>
      </c>
      <c r="B23" s="89" t="s">
        <v>91</v>
      </c>
      <c r="C23" s="307">
        <f>IF(MIN(D23:V23)=0,"  No Criteria",MIN(D23:V23))</f>
        <v>6.3</v>
      </c>
      <c r="D23" s="377">
        <f t="shared" si="0"/>
        <v>6.3</v>
      </c>
      <c r="E23" s="377">
        <f t="shared" si="1"/>
      </c>
      <c r="F23" s="377">
        <f t="shared" si="2"/>
      </c>
      <c r="G23" s="77"/>
      <c r="H23" s="110"/>
      <c r="I23" s="77"/>
      <c r="J23" s="78"/>
      <c r="K23" s="78"/>
      <c r="L23" s="142"/>
      <c r="M23" s="140"/>
      <c r="N23" s="120"/>
      <c r="O23" s="120"/>
      <c r="P23" s="121"/>
      <c r="Q23" s="133"/>
      <c r="R23" s="120"/>
      <c r="S23" s="141"/>
      <c r="T23" s="120"/>
      <c r="U23" s="141"/>
      <c r="V23" s="143">
        <v>6.3</v>
      </c>
      <c r="W23" s="106"/>
      <c r="X23" s="99"/>
      <c r="Y23" s="99"/>
      <c r="Z23" s="107"/>
      <c r="AA23" s="77"/>
      <c r="AB23" s="78"/>
      <c r="AC23" s="78"/>
      <c r="AD23" s="79"/>
      <c r="AE23" s="77"/>
      <c r="AF23" s="79"/>
    </row>
    <row r="24" spans="1:32" ht="13.5" thickBot="1">
      <c r="A24" s="88">
        <v>13</v>
      </c>
      <c r="B24" s="89" t="s">
        <v>92</v>
      </c>
      <c r="C24" s="305">
        <f>IF($C$1="Y",IF(MIN(D24:P24)=0," No Criteria",MIN(D24:P24)),IF(MIN(D24:V24)=0,"No Criteria",MIN(D24:V24)))</f>
        <v>76.62301405629962</v>
      </c>
      <c r="D24" s="377">
        <f t="shared" si="0"/>
      </c>
      <c r="E24" s="377">
        <f t="shared" si="1"/>
        <v>76.62301405629962</v>
      </c>
      <c r="F24" s="377">
        <f t="shared" si="2"/>
        <v>76.62301405629962</v>
      </c>
      <c r="G24" s="77"/>
      <c r="H24" s="110"/>
      <c r="I24" s="201">
        <v>76.62301405629962</v>
      </c>
      <c r="J24" s="202">
        <v>76.62301405629962</v>
      </c>
      <c r="K24" s="112"/>
      <c r="L24" s="113"/>
      <c r="M24" s="114">
        <v>85.62367864693447</v>
      </c>
      <c r="N24" s="124">
        <v>95.13742071881607</v>
      </c>
      <c r="O24" s="112"/>
      <c r="P24" s="113"/>
      <c r="Q24" s="194">
        <f>(EXP(W24*(LN($C$2))+X24))</f>
        <v>76.62301405629962</v>
      </c>
      <c r="R24" s="193">
        <f>(EXP(Y24*(LN($C$2))+Z24))</f>
        <v>76.62301405629962</v>
      </c>
      <c r="S24" s="198">
        <f>90/AC24</f>
        <v>95.13742071881607</v>
      </c>
      <c r="T24" s="196">
        <f>81/AD24</f>
        <v>85.62367864693447</v>
      </c>
      <c r="U24" s="115"/>
      <c r="V24" s="97"/>
      <c r="W24" s="106">
        <v>0.8473</v>
      </c>
      <c r="X24" s="99">
        <v>0.884</v>
      </c>
      <c r="Y24" s="99">
        <v>0.8473</v>
      </c>
      <c r="Z24" s="107">
        <v>0.884</v>
      </c>
      <c r="AA24" s="77">
        <v>0.978</v>
      </c>
      <c r="AB24" s="78">
        <v>0.986</v>
      </c>
      <c r="AC24" s="78">
        <v>0.946</v>
      </c>
      <c r="AD24" s="79">
        <v>0.946</v>
      </c>
      <c r="AE24" s="144"/>
      <c r="AF24" s="145"/>
    </row>
    <row r="25" spans="1:30" ht="12.75">
      <c r="A25" s="88">
        <v>14</v>
      </c>
      <c r="B25" s="89" t="s">
        <v>93</v>
      </c>
      <c r="C25" s="306">
        <f>IF(MIN(D25:V25)=0,"No Criteria",MIN(D25:V25))</f>
        <v>1</v>
      </c>
      <c r="D25" s="377">
        <f t="shared" si="0"/>
        <v>220000</v>
      </c>
      <c r="E25" s="377">
        <f t="shared" si="1"/>
        <v>1</v>
      </c>
      <c r="F25" s="377">
        <f t="shared" si="2"/>
        <v>1</v>
      </c>
      <c r="G25" s="77"/>
      <c r="H25" s="110"/>
      <c r="I25" s="102">
        <v>5.2</v>
      </c>
      <c r="J25" s="112">
        <v>22</v>
      </c>
      <c r="K25" s="112"/>
      <c r="L25" s="113"/>
      <c r="M25" s="114">
        <v>1</v>
      </c>
      <c r="N25" s="124">
        <v>1</v>
      </c>
      <c r="O25" s="124"/>
      <c r="P25" s="125"/>
      <c r="Q25" s="146">
        <v>22</v>
      </c>
      <c r="R25" s="124">
        <v>5.2</v>
      </c>
      <c r="S25" s="103">
        <v>1</v>
      </c>
      <c r="T25" s="124">
        <v>1</v>
      </c>
      <c r="U25" s="103"/>
      <c r="V25" s="137">
        <v>220000</v>
      </c>
      <c r="W25" s="74"/>
      <c r="X25" s="75"/>
      <c r="Y25" s="75"/>
      <c r="Z25" s="76"/>
      <c r="AA25" s="85"/>
      <c r="AB25" s="86"/>
      <c r="AC25" s="86"/>
      <c r="AD25" s="87"/>
    </row>
    <row r="26" spans="1:30" ht="12.75">
      <c r="A26" s="88">
        <v>15</v>
      </c>
      <c r="B26" s="89" t="s">
        <v>94</v>
      </c>
      <c r="C26" s="306" t="str">
        <f>IF(MIN(D26:V26)=0,"No Criteria",MIN(D26:V26))</f>
        <v>No Criteria</v>
      </c>
      <c r="D26" s="377">
        <f t="shared" si="0"/>
      </c>
      <c r="E26" s="377">
        <f t="shared" si="1"/>
      </c>
      <c r="F26" s="377">
        <f t="shared" si="2"/>
      </c>
      <c r="G26" s="77"/>
      <c r="H26" s="89"/>
      <c r="I26" s="77"/>
      <c r="J26" s="78"/>
      <c r="K26" s="78"/>
      <c r="L26" s="142"/>
      <c r="M26" s="140"/>
      <c r="N26" s="120"/>
      <c r="O26" s="120"/>
      <c r="P26" s="121"/>
      <c r="Q26" s="133"/>
      <c r="R26" s="120"/>
      <c r="S26" s="141"/>
      <c r="T26" s="120"/>
      <c r="U26" s="141"/>
      <c r="V26" s="97"/>
      <c r="W26" s="74"/>
      <c r="X26" s="75"/>
      <c r="Y26" s="75"/>
      <c r="Z26" s="76"/>
      <c r="AA26" s="85"/>
      <c r="AB26" s="86"/>
      <c r="AC26" s="86"/>
      <c r="AD26" s="87"/>
    </row>
    <row r="27" spans="1:30" ht="12.75">
      <c r="A27" s="62">
        <v>16</v>
      </c>
      <c r="B27" s="89" t="s">
        <v>95</v>
      </c>
      <c r="C27" s="307">
        <f aca="true" t="shared" si="3" ref="C27:C35">IF(MIN(D27:V27)=0,"  No Criteria",MIN(D27:V27))</f>
        <v>1.4E-08</v>
      </c>
      <c r="D27" s="377">
        <f t="shared" si="0"/>
        <v>1.4E-08</v>
      </c>
      <c r="E27" s="377">
        <f t="shared" si="1"/>
      </c>
      <c r="F27" s="377">
        <f t="shared" si="2"/>
      </c>
      <c r="G27" s="117"/>
      <c r="H27" s="89"/>
      <c r="I27" s="77"/>
      <c r="J27" s="86"/>
      <c r="K27" s="78"/>
      <c r="L27" s="142"/>
      <c r="M27" s="140"/>
      <c r="N27" s="78"/>
      <c r="O27" s="78"/>
      <c r="P27" s="89"/>
      <c r="Q27" s="77"/>
      <c r="R27" s="78"/>
      <c r="S27" s="140"/>
      <c r="T27" s="78"/>
      <c r="U27" s="147"/>
      <c r="V27" s="148">
        <v>1.4E-08</v>
      </c>
      <c r="W27" s="74"/>
      <c r="X27" s="75"/>
      <c r="Y27" s="75"/>
      <c r="Z27" s="76"/>
      <c r="AA27" s="85"/>
      <c r="AB27" s="86"/>
      <c r="AC27" s="86"/>
      <c r="AD27" s="87"/>
    </row>
    <row r="28" spans="1:30" ht="12.75">
      <c r="A28" s="62"/>
      <c r="B28" s="89" t="s">
        <v>270</v>
      </c>
      <c r="C28" s="307">
        <f t="shared" si="3"/>
        <v>1.4E-08</v>
      </c>
      <c r="D28" s="377">
        <f t="shared" si="0"/>
        <v>1.4E-08</v>
      </c>
      <c r="E28" s="377">
        <f t="shared" si="1"/>
      </c>
      <c r="F28" s="377">
        <f t="shared" si="2"/>
      </c>
      <c r="G28" s="117"/>
      <c r="H28" s="89"/>
      <c r="I28" s="77"/>
      <c r="J28" s="86"/>
      <c r="K28" s="78"/>
      <c r="L28" s="142"/>
      <c r="M28" s="140"/>
      <c r="N28" s="78"/>
      <c r="O28" s="78"/>
      <c r="P28" s="89"/>
      <c r="Q28" s="77"/>
      <c r="R28" s="78"/>
      <c r="S28" s="140"/>
      <c r="T28" s="78"/>
      <c r="U28" s="147"/>
      <c r="V28" s="148">
        <v>1.4E-08</v>
      </c>
      <c r="W28" s="74"/>
      <c r="X28" s="75"/>
      <c r="Y28" s="75"/>
      <c r="Z28" s="76"/>
      <c r="AA28" s="85"/>
      <c r="AB28" s="86"/>
      <c r="AC28" s="86"/>
      <c r="AD28" s="87"/>
    </row>
    <row r="29" spans="1:30" ht="12.75">
      <c r="A29" s="62">
        <v>17</v>
      </c>
      <c r="B29" s="89" t="s">
        <v>96</v>
      </c>
      <c r="C29" s="307">
        <f t="shared" si="3"/>
        <v>780</v>
      </c>
      <c r="D29" s="377">
        <f t="shared" si="0"/>
        <v>780</v>
      </c>
      <c r="E29" s="377">
        <f t="shared" si="1"/>
      </c>
      <c r="F29" s="377">
        <f t="shared" si="2"/>
      </c>
      <c r="G29" s="77"/>
      <c r="H29" s="89"/>
      <c r="I29" s="77"/>
      <c r="J29" s="78"/>
      <c r="K29" s="78"/>
      <c r="L29" s="142"/>
      <c r="M29" s="140"/>
      <c r="N29" s="78"/>
      <c r="O29" s="78"/>
      <c r="P29" s="89"/>
      <c r="Q29" s="77"/>
      <c r="R29" s="78"/>
      <c r="S29" s="140"/>
      <c r="T29" s="78"/>
      <c r="U29" s="140"/>
      <c r="V29" s="149">
        <v>780</v>
      </c>
      <c r="W29" s="74"/>
      <c r="X29" s="75"/>
      <c r="Y29" s="75"/>
      <c r="Z29" s="76"/>
      <c r="AA29" s="85"/>
      <c r="AB29" s="86"/>
      <c r="AC29" s="86"/>
      <c r="AD29" s="87"/>
    </row>
    <row r="30" spans="1:30" ht="12.75">
      <c r="A30" s="62">
        <v>18</v>
      </c>
      <c r="B30" s="89" t="s">
        <v>97</v>
      </c>
      <c r="C30" s="307">
        <f t="shared" si="3"/>
        <v>0.66</v>
      </c>
      <c r="D30" s="377">
        <f t="shared" si="0"/>
        <v>0.66</v>
      </c>
      <c r="E30" s="377">
        <f t="shared" si="1"/>
      </c>
      <c r="F30" s="377">
        <f t="shared" si="2"/>
      </c>
      <c r="G30" s="77"/>
      <c r="H30" s="89"/>
      <c r="I30" s="77"/>
      <c r="J30" s="78"/>
      <c r="K30" s="78"/>
      <c r="L30" s="142"/>
      <c r="M30" s="140"/>
      <c r="N30" s="78"/>
      <c r="O30" s="78"/>
      <c r="P30" s="89"/>
      <c r="Q30" s="77"/>
      <c r="R30" s="78"/>
      <c r="S30" s="140"/>
      <c r="T30" s="78"/>
      <c r="U30" s="140"/>
      <c r="V30" s="150">
        <v>0.66</v>
      </c>
      <c r="W30" s="74"/>
      <c r="X30" s="75"/>
      <c r="Y30" s="75"/>
      <c r="Z30" s="76"/>
      <c r="AA30" s="85"/>
      <c r="AB30" s="86"/>
      <c r="AC30" s="86"/>
      <c r="AD30" s="87"/>
    </row>
    <row r="31" spans="1:30" ht="12.75">
      <c r="A31" s="62">
        <v>19</v>
      </c>
      <c r="B31" s="89" t="s">
        <v>98</v>
      </c>
      <c r="C31" s="307">
        <f t="shared" si="3"/>
        <v>71</v>
      </c>
      <c r="D31" s="377">
        <f t="shared" si="0"/>
        <v>71</v>
      </c>
      <c r="E31" s="377">
        <f t="shared" si="1"/>
      </c>
      <c r="F31" s="377">
        <f t="shared" si="2"/>
      </c>
      <c r="G31" s="77"/>
      <c r="H31" s="89"/>
      <c r="I31" s="77"/>
      <c r="J31" s="78"/>
      <c r="K31" s="78"/>
      <c r="L31" s="142"/>
      <c r="M31" s="140"/>
      <c r="N31" s="78"/>
      <c r="O31" s="78"/>
      <c r="P31" s="89"/>
      <c r="Q31" s="77"/>
      <c r="R31" s="78"/>
      <c r="S31" s="140"/>
      <c r="T31" s="78"/>
      <c r="U31" s="140"/>
      <c r="V31" s="149">
        <v>71</v>
      </c>
      <c r="W31" s="74"/>
      <c r="X31" s="75"/>
      <c r="Y31" s="75"/>
      <c r="Z31" s="76"/>
      <c r="AA31" s="85"/>
      <c r="AB31" s="86"/>
      <c r="AC31" s="86"/>
      <c r="AD31" s="87"/>
    </row>
    <row r="32" spans="1:30" ht="12.75">
      <c r="A32" s="62">
        <v>20</v>
      </c>
      <c r="B32" s="89" t="s">
        <v>99</v>
      </c>
      <c r="C32" s="307">
        <f t="shared" si="3"/>
        <v>360</v>
      </c>
      <c r="D32" s="377">
        <f t="shared" si="0"/>
        <v>360</v>
      </c>
      <c r="E32" s="377">
        <f t="shared" si="1"/>
      </c>
      <c r="F32" s="377">
        <f t="shared" si="2"/>
      </c>
      <c r="G32" s="77"/>
      <c r="H32" s="89"/>
      <c r="I32" s="77"/>
      <c r="J32" s="78"/>
      <c r="K32" s="78"/>
      <c r="L32" s="142"/>
      <c r="M32" s="140"/>
      <c r="N32" s="78"/>
      <c r="O32" s="78"/>
      <c r="P32" s="89"/>
      <c r="Q32" s="77"/>
      <c r="R32" s="78"/>
      <c r="S32" s="140"/>
      <c r="T32" s="78"/>
      <c r="U32" s="140"/>
      <c r="V32" s="149">
        <v>360</v>
      </c>
      <c r="W32" s="74"/>
      <c r="X32" s="75"/>
      <c r="Y32" s="75"/>
      <c r="Z32" s="76"/>
      <c r="AA32" s="85"/>
      <c r="AB32" s="86"/>
      <c r="AC32" s="86"/>
      <c r="AD32" s="87"/>
    </row>
    <row r="33" spans="1:30" ht="12.75">
      <c r="A33" s="62">
        <v>21</v>
      </c>
      <c r="B33" s="89" t="s">
        <v>100</v>
      </c>
      <c r="C33" s="307">
        <f t="shared" si="3"/>
        <v>4.4</v>
      </c>
      <c r="D33" s="377">
        <f t="shared" si="0"/>
        <v>4.4</v>
      </c>
      <c r="E33" s="377">
        <f t="shared" si="1"/>
      </c>
      <c r="F33" s="377">
        <f t="shared" si="2"/>
      </c>
      <c r="G33" s="77"/>
      <c r="H33" s="89"/>
      <c r="I33" s="77"/>
      <c r="J33" s="78"/>
      <c r="K33" s="78"/>
      <c r="L33" s="142"/>
      <c r="M33" s="140"/>
      <c r="N33" s="78"/>
      <c r="O33" s="78"/>
      <c r="P33" s="89"/>
      <c r="Q33" s="77"/>
      <c r="R33" s="78"/>
      <c r="S33" s="140"/>
      <c r="T33" s="78"/>
      <c r="U33" s="140"/>
      <c r="V33" s="151">
        <v>4.4</v>
      </c>
      <c r="W33" s="74"/>
      <c r="X33" s="75"/>
      <c r="Y33" s="75"/>
      <c r="Z33" s="76"/>
      <c r="AA33" s="85"/>
      <c r="AB33" s="86"/>
      <c r="AC33" s="86"/>
      <c r="AD33" s="87"/>
    </row>
    <row r="34" spans="1:30" ht="12.75">
      <c r="A34" s="62">
        <v>22</v>
      </c>
      <c r="B34" s="89" t="s">
        <v>101</v>
      </c>
      <c r="C34" s="307">
        <f t="shared" si="3"/>
        <v>21000</v>
      </c>
      <c r="D34" s="377">
        <f t="shared" si="0"/>
        <v>21000</v>
      </c>
      <c r="E34" s="377">
        <f t="shared" si="1"/>
      </c>
      <c r="F34" s="377">
        <f t="shared" si="2"/>
      </c>
      <c r="G34" s="77"/>
      <c r="H34" s="89"/>
      <c r="I34" s="77"/>
      <c r="J34" s="78"/>
      <c r="K34" s="78"/>
      <c r="L34" s="142"/>
      <c r="M34" s="140"/>
      <c r="N34" s="78"/>
      <c r="O34" s="78"/>
      <c r="P34" s="89"/>
      <c r="Q34" s="77"/>
      <c r="R34" s="78"/>
      <c r="S34" s="140"/>
      <c r="T34" s="78"/>
      <c r="U34" s="140"/>
      <c r="V34" s="152">
        <v>21000</v>
      </c>
      <c r="W34" s="74"/>
      <c r="X34" s="75"/>
      <c r="Y34" s="75"/>
      <c r="Z34" s="76"/>
      <c r="AA34" s="85"/>
      <c r="AB34" s="86"/>
      <c r="AC34" s="86"/>
      <c r="AD34" s="87"/>
    </row>
    <row r="35" spans="1:30" ht="12.75">
      <c r="A35" s="62">
        <v>23</v>
      </c>
      <c r="B35" s="89" t="s">
        <v>102</v>
      </c>
      <c r="C35" s="307">
        <f t="shared" si="3"/>
        <v>34</v>
      </c>
      <c r="D35" s="377">
        <f t="shared" si="0"/>
        <v>34</v>
      </c>
      <c r="E35" s="377">
        <f t="shared" si="1"/>
      </c>
      <c r="F35" s="377">
        <f t="shared" si="2"/>
      </c>
      <c r="G35" s="77"/>
      <c r="H35" s="89"/>
      <c r="I35" s="77"/>
      <c r="J35" s="78"/>
      <c r="K35" s="78"/>
      <c r="L35" s="142"/>
      <c r="M35" s="140"/>
      <c r="N35" s="78"/>
      <c r="O35" s="78"/>
      <c r="P35" s="89"/>
      <c r="Q35" s="77"/>
      <c r="R35" s="78"/>
      <c r="S35" s="140"/>
      <c r="T35" s="78"/>
      <c r="U35" s="140"/>
      <c r="V35" s="149">
        <v>34</v>
      </c>
      <c r="W35" s="74"/>
      <c r="X35" s="75"/>
      <c r="Y35" s="75"/>
      <c r="Z35" s="76"/>
      <c r="AA35" s="85"/>
      <c r="AB35" s="86"/>
      <c r="AC35" s="86"/>
      <c r="AD35" s="87"/>
    </row>
    <row r="36" spans="1:30" ht="12.75">
      <c r="A36" s="62">
        <v>24</v>
      </c>
      <c r="B36" s="89" t="s">
        <v>103</v>
      </c>
      <c r="C36" s="308" t="str">
        <f>IF(MIN(D36:V36)=0,"No Criteria",MIN(D36:V36))</f>
        <v>No Criteria</v>
      </c>
      <c r="D36" s="377">
        <f t="shared" si="0"/>
      </c>
      <c r="E36" s="377">
        <f t="shared" si="1"/>
      </c>
      <c r="F36" s="377">
        <f t="shared" si="2"/>
      </c>
      <c r="G36" s="77"/>
      <c r="H36" s="89"/>
      <c r="I36" s="77"/>
      <c r="J36" s="78"/>
      <c r="K36" s="78"/>
      <c r="L36" s="142"/>
      <c r="M36" s="140"/>
      <c r="N36" s="78"/>
      <c r="O36" s="78"/>
      <c r="P36" s="89"/>
      <c r="Q36" s="77"/>
      <c r="R36" s="78"/>
      <c r="S36" s="140"/>
      <c r="T36" s="78"/>
      <c r="U36" s="140"/>
      <c r="V36" s="153"/>
      <c r="W36" s="74"/>
      <c r="X36" s="75"/>
      <c r="Y36" s="75"/>
      <c r="Z36" s="76"/>
      <c r="AA36" s="85"/>
      <c r="AB36" s="86"/>
      <c r="AC36" s="86"/>
      <c r="AD36" s="87"/>
    </row>
    <row r="37" spans="1:30" ht="12.75">
      <c r="A37" s="62">
        <v>25</v>
      </c>
      <c r="B37" s="89" t="s">
        <v>104</v>
      </c>
      <c r="C37" s="308" t="str">
        <f>IF(MIN(D37:V37)=0,"No Criteria",MIN(D37:V37))</f>
        <v>No Criteria</v>
      </c>
      <c r="D37" s="377">
        <f t="shared" si="0"/>
      </c>
      <c r="E37" s="377">
        <f t="shared" si="1"/>
      </c>
      <c r="F37" s="377">
        <f t="shared" si="2"/>
      </c>
      <c r="G37" s="77"/>
      <c r="H37" s="89"/>
      <c r="I37" s="77"/>
      <c r="J37" s="78"/>
      <c r="K37" s="78"/>
      <c r="L37" s="142"/>
      <c r="M37" s="140"/>
      <c r="N37" s="78"/>
      <c r="O37" s="78"/>
      <c r="P37" s="89"/>
      <c r="Q37" s="77"/>
      <c r="R37" s="78"/>
      <c r="S37" s="140"/>
      <c r="T37" s="78"/>
      <c r="U37" s="140"/>
      <c r="V37" s="153"/>
      <c r="W37" s="74"/>
      <c r="X37" s="75"/>
      <c r="Y37" s="75"/>
      <c r="Z37" s="76"/>
      <c r="AA37" s="85"/>
      <c r="AB37" s="86"/>
      <c r="AC37" s="86"/>
      <c r="AD37" s="87"/>
    </row>
    <row r="38" spans="1:30" ht="12.75">
      <c r="A38" s="62">
        <v>26</v>
      </c>
      <c r="B38" s="89" t="s">
        <v>105</v>
      </c>
      <c r="C38" s="308" t="str">
        <f>IF(MIN(D38:V38)=0,"No Criteria",MIN(D38:V38))</f>
        <v>No Criteria</v>
      </c>
      <c r="D38" s="377">
        <f t="shared" si="0"/>
      </c>
      <c r="E38" s="377">
        <f t="shared" si="1"/>
      </c>
      <c r="F38" s="377">
        <f t="shared" si="2"/>
      </c>
      <c r="G38" s="77"/>
      <c r="H38" s="89"/>
      <c r="I38" s="77"/>
      <c r="J38" s="78"/>
      <c r="K38" s="78"/>
      <c r="L38" s="142"/>
      <c r="M38" s="140"/>
      <c r="N38" s="78"/>
      <c r="O38" s="78"/>
      <c r="P38" s="89"/>
      <c r="Q38" s="77"/>
      <c r="R38" s="78"/>
      <c r="S38" s="140"/>
      <c r="T38" s="78"/>
      <c r="U38" s="140"/>
      <c r="V38" s="153"/>
      <c r="W38" s="74"/>
      <c r="X38" s="75"/>
      <c r="Y38" s="75"/>
      <c r="Z38" s="76"/>
      <c r="AA38" s="85"/>
      <c r="AB38" s="86"/>
      <c r="AC38" s="86"/>
      <c r="AD38" s="87"/>
    </row>
    <row r="39" spans="1:30" ht="12.75">
      <c r="A39" s="62">
        <v>27</v>
      </c>
      <c r="B39" s="89" t="s">
        <v>106</v>
      </c>
      <c r="C39" s="307">
        <f>IF(MIN(D39:V39)=0,"  No Criteria",MIN(D39:V39))</f>
        <v>46</v>
      </c>
      <c r="D39" s="377">
        <f t="shared" si="0"/>
        <v>46</v>
      </c>
      <c r="E39" s="377">
        <f t="shared" si="1"/>
      </c>
      <c r="F39" s="377">
        <f t="shared" si="2"/>
      </c>
      <c r="G39" s="77"/>
      <c r="H39" s="89"/>
      <c r="I39" s="77"/>
      <c r="J39" s="78"/>
      <c r="K39" s="78"/>
      <c r="L39" s="142"/>
      <c r="M39" s="140"/>
      <c r="N39" s="78"/>
      <c r="O39" s="78"/>
      <c r="P39" s="89"/>
      <c r="Q39" s="77"/>
      <c r="R39" s="78"/>
      <c r="S39" s="140"/>
      <c r="T39" s="78"/>
      <c r="U39" s="140"/>
      <c r="V39" s="149">
        <v>46</v>
      </c>
      <c r="W39" s="74"/>
      <c r="X39" s="75"/>
      <c r="Y39" s="75"/>
      <c r="Z39" s="76"/>
      <c r="AA39" s="85"/>
      <c r="AB39" s="86"/>
      <c r="AC39" s="86"/>
      <c r="AD39" s="87"/>
    </row>
    <row r="40" spans="1:30" ht="12.75">
      <c r="A40" s="62">
        <v>28</v>
      </c>
      <c r="B40" s="89" t="s">
        <v>0</v>
      </c>
      <c r="C40" s="308" t="str">
        <f>IF(MIN(D40:V40)=0,"No Criteria",MIN(D40:V40))</f>
        <v>No Criteria</v>
      </c>
      <c r="D40" s="377">
        <f t="shared" si="0"/>
      </c>
      <c r="E40" s="377">
        <f t="shared" si="1"/>
      </c>
      <c r="F40" s="377">
        <f t="shared" si="2"/>
      </c>
      <c r="G40" s="77"/>
      <c r="H40" s="89"/>
      <c r="I40" s="77"/>
      <c r="J40" s="78"/>
      <c r="K40" s="78"/>
      <c r="L40" s="142"/>
      <c r="M40" s="140"/>
      <c r="N40" s="78"/>
      <c r="O40" s="78"/>
      <c r="P40" s="89"/>
      <c r="Q40" s="77"/>
      <c r="R40" s="78"/>
      <c r="S40" s="140"/>
      <c r="T40" s="78"/>
      <c r="U40" s="140"/>
      <c r="V40" s="153"/>
      <c r="W40" s="74"/>
      <c r="X40" s="75"/>
      <c r="Y40" s="75"/>
      <c r="Z40" s="76"/>
      <c r="AA40" s="85"/>
      <c r="AB40" s="86"/>
      <c r="AC40" s="86"/>
      <c r="AD40" s="87"/>
    </row>
    <row r="41" spans="1:30" ht="12.75">
      <c r="A41" s="62">
        <v>29</v>
      </c>
      <c r="B41" s="89" t="s">
        <v>1</v>
      </c>
      <c r="C41" s="307">
        <f aca="true" t="shared" si="4" ref="C41:C46">IF(MIN(D41:V41)=0,"  No Criteria",MIN(D41:V41))</f>
        <v>99</v>
      </c>
      <c r="D41" s="377">
        <f t="shared" si="0"/>
        <v>99</v>
      </c>
      <c r="E41" s="377">
        <f t="shared" si="1"/>
      </c>
      <c r="F41" s="377">
        <f t="shared" si="2"/>
      </c>
      <c r="G41" s="77"/>
      <c r="H41" s="89"/>
      <c r="I41" s="77"/>
      <c r="J41" s="78"/>
      <c r="K41" s="78"/>
      <c r="L41" s="142"/>
      <c r="M41" s="140"/>
      <c r="N41" s="78"/>
      <c r="O41" s="78"/>
      <c r="P41" s="89"/>
      <c r="Q41" s="77"/>
      <c r="R41" s="78"/>
      <c r="S41" s="140"/>
      <c r="T41" s="78"/>
      <c r="U41" s="140"/>
      <c r="V41" s="149">
        <v>99</v>
      </c>
      <c r="W41" s="74"/>
      <c r="X41" s="75"/>
      <c r="Y41" s="75"/>
      <c r="Z41" s="76"/>
      <c r="AA41" s="85"/>
      <c r="AB41" s="86"/>
      <c r="AC41" s="86"/>
      <c r="AD41" s="87"/>
    </row>
    <row r="42" spans="1:30" ht="12.75">
      <c r="A42" s="62">
        <v>30</v>
      </c>
      <c r="B42" s="89" t="s">
        <v>2</v>
      </c>
      <c r="C42" s="307">
        <f t="shared" si="4"/>
        <v>3.2</v>
      </c>
      <c r="D42" s="377">
        <f t="shared" si="0"/>
        <v>3.2</v>
      </c>
      <c r="E42" s="377">
        <f t="shared" si="1"/>
      </c>
      <c r="F42" s="377">
        <f t="shared" si="2"/>
      </c>
      <c r="G42" s="77"/>
      <c r="H42" s="89"/>
      <c r="I42" s="77"/>
      <c r="J42" s="78"/>
      <c r="K42" s="78"/>
      <c r="L42" s="142"/>
      <c r="M42" s="140"/>
      <c r="N42" s="78"/>
      <c r="O42" s="78"/>
      <c r="P42" s="89"/>
      <c r="Q42" s="77"/>
      <c r="R42" s="78"/>
      <c r="S42" s="140"/>
      <c r="T42" s="78"/>
      <c r="U42" s="140"/>
      <c r="V42" s="151">
        <v>3.2</v>
      </c>
      <c r="W42" s="74"/>
      <c r="X42" s="75"/>
      <c r="Y42" s="75"/>
      <c r="Z42" s="76"/>
      <c r="AA42" s="85"/>
      <c r="AB42" s="86"/>
      <c r="AC42" s="86"/>
      <c r="AD42" s="87"/>
    </row>
    <row r="43" spans="1:30" ht="12.75">
      <c r="A43" s="62">
        <v>31</v>
      </c>
      <c r="B43" s="89" t="s">
        <v>3</v>
      </c>
      <c r="C43" s="307">
        <f t="shared" si="4"/>
        <v>39</v>
      </c>
      <c r="D43" s="377">
        <f t="shared" si="0"/>
        <v>39</v>
      </c>
      <c r="E43" s="377">
        <f t="shared" si="1"/>
      </c>
      <c r="F43" s="377">
        <f t="shared" si="2"/>
      </c>
      <c r="G43" s="77"/>
      <c r="H43" s="89"/>
      <c r="I43" s="77"/>
      <c r="J43" s="78"/>
      <c r="K43" s="78"/>
      <c r="L43" s="142"/>
      <c r="M43" s="140"/>
      <c r="N43" s="78"/>
      <c r="O43" s="78"/>
      <c r="P43" s="89"/>
      <c r="Q43" s="77"/>
      <c r="R43" s="78"/>
      <c r="S43" s="140"/>
      <c r="T43" s="78"/>
      <c r="U43" s="140"/>
      <c r="V43" s="149">
        <v>39</v>
      </c>
      <c r="W43" s="74"/>
      <c r="X43" s="75"/>
      <c r="Y43" s="75"/>
      <c r="Z43" s="76"/>
      <c r="AA43" s="85"/>
      <c r="AB43" s="86"/>
      <c r="AC43" s="86"/>
      <c r="AD43" s="87"/>
    </row>
    <row r="44" spans="1:30" ht="12.75">
      <c r="A44" s="62">
        <v>32</v>
      </c>
      <c r="B44" s="89" t="s">
        <v>4</v>
      </c>
      <c r="C44" s="307">
        <f t="shared" si="4"/>
        <v>1700</v>
      </c>
      <c r="D44" s="377">
        <f t="shared" si="0"/>
        <v>1700</v>
      </c>
      <c r="E44" s="377">
        <f t="shared" si="1"/>
      </c>
      <c r="F44" s="377">
        <f t="shared" si="2"/>
      </c>
      <c r="G44" s="77"/>
      <c r="H44" s="89"/>
      <c r="I44" s="77"/>
      <c r="J44" s="78"/>
      <c r="K44" s="78"/>
      <c r="L44" s="142"/>
      <c r="M44" s="140"/>
      <c r="N44" s="78"/>
      <c r="O44" s="78"/>
      <c r="P44" s="89"/>
      <c r="Q44" s="77"/>
      <c r="R44" s="78"/>
      <c r="S44" s="140"/>
      <c r="T44" s="78"/>
      <c r="U44" s="140"/>
      <c r="V44" s="152">
        <v>1700</v>
      </c>
      <c r="W44" s="74"/>
      <c r="X44" s="75"/>
      <c r="Y44" s="75"/>
      <c r="Z44" s="76"/>
      <c r="AA44" s="85"/>
      <c r="AB44" s="86"/>
      <c r="AC44" s="86"/>
      <c r="AD44" s="87"/>
    </row>
    <row r="45" spans="1:30" ht="12.75">
      <c r="A45" s="62">
        <v>33</v>
      </c>
      <c r="B45" s="89" t="s">
        <v>5</v>
      </c>
      <c r="C45" s="307">
        <f t="shared" si="4"/>
        <v>29000</v>
      </c>
      <c r="D45" s="377">
        <f t="shared" si="0"/>
        <v>29000</v>
      </c>
      <c r="E45" s="377">
        <f t="shared" si="1"/>
      </c>
      <c r="F45" s="377">
        <f t="shared" si="2"/>
      </c>
      <c r="G45" s="77"/>
      <c r="H45" s="89"/>
      <c r="I45" s="77"/>
      <c r="J45" s="78"/>
      <c r="K45" s="78"/>
      <c r="L45" s="142"/>
      <c r="M45" s="140"/>
      <c r="N45" s="78"/>
      <c r="O45" s="78"/>
      <c r="P45" s="89"/>
      <c r="Q45" s="77"/>
      <c r="R45" s="78"/>
      <c r="S45" s="140"/>
      <c r="T45" s="78"/>
      <c r="U45" s="140"/>
      <c r="V45" s="152">
        <v>29000</v>
      </c>
      <c r="W45" s="74"/>
      <c r="X45" s="75"/>
      <c r="Y45" s="75"/>
      <c r="Z45" s="76"/>
      <c r="AA45" s="85"/>
      <c r="AB45" s="86"/>
      <c r="AC45" s="86"/>
      <c r="AD45" s="87"/>
    </row>
    <row r="46" spans="1:30" ht="12.75">
      <c r="A46" s="62">
        <v>34</v>
      </c>
      <c r="B46" s="89" t="s">
        <v>6</v>
      </c>
      <c r="C46" s="307">
        <f t="shared" si="4"/>
        <v>4000</v>
      </c>
      <c r="D46" s="377">
        <f t="shared" si="0"/>
        <v>4000</v>
      </c>
      <c r="E46" s="377">
        <f t="shared" si="1"/>
      </c>
      <c r="F46" s="377">
        <f t="shared" si="2"/>
      </c>
      <c r="G46" s="77"/>
      <c r="H46" s="89"/>
      <c r="I46" s="77"/>
      <c r="J46" s="78"/>
      <c r="K46" s="78"/>
      <c r="L46" s="142"/>
      <c r="M46" s="140"/>
      <c r="N46" s="78"/>
      <c r="O46" s="78"/>
      <c r="P46" s="89"/>
      <c r="Q46" s="77"/>
      <c r="R46" s="78"/>
      <c r="S46" s="140"/>
      <c r="T46" s="78"/>
      <c r="U46" s="140"/>
      <c r="V46" s="152">
        <v>4000</v>
      </c>
      <c r="W46" s="74"/>
      <c r="X46" s="75"/>
      <c r="Y46" s="75"/>
      <c r="Z46" s="76"/>
      <c r="AA46" s="85"/>
      <c r="AB46" s="86"/>
      <c r="AC46" s="86"/>
      <c r="AD46" s="87"/>
    </row>
    <row r="47" spans="1:30" ht="12.75">
      <c r="A47" s="62">
        <v>35</v>
      </c>
      <c r="B47" s="89" t="s">
        <v>7</v>
      </c>
      <c r="C47" s="308" t="str">
        <f>IF(MIN(D47:V47)=0,"No Criteria",MIN(D47:V47))</f>
        <v>No Criteria</v>
      </c>
      <c r="D47" s="377">
        <f t="shared" si="0"/>
      </c>
      <c r="E47" s="377">
        <f t="shared" si="1"/>
      </c>
      <c r="F47" s="377">
        <f t="shared" si="2"/>
      </c>
      <c r="G47" s="77"/>
      <c r="H47" s="89"/>
      <c r="I47" s="77"/>
      <c r="J47" s="78"/>
      <c r="K47" s="78"/>
      <c r="L47" s="142"/>
      <c r="M47" s="140"/>
      <c r="N47" s="78"/>
      <c r="O47" s="78"/>
      <c r="P47" s="89"/>
      <c r="Q47" s="77"/>
      <c r="R47" s="78"/>
      <c r="S47" s="140"/>
      <c r="T47" s="78"/>
      <c r="U47" s="140"/>
      <c r="V47" s="149"/>
      <c r="W47" s="74"/>
      <c r="X47" s="75"/>
      <c r="Y47" s="75"/>
      <c r="Z47" s="76"/>
      <c r="AA47" s="85"/>
      <c r="AB47" s="86"/>
      <c r="AC47" s="86"/>
      <c r="AD47" s="87"/>
    </row>
    <row r="48" spans="1:30" ht="12.75">
      <c r="A48" s="62">
        <v>36</v>
      </c>
      <c r="B48" s="89" t="s">
        <v>8</v>
      </c>
      <c r="C48" s="307">
        <f>IF(MIN(D48:V48)=0,"  No Criteria",MIN(D48:V48))</f>
        <v>1600</v>
      </c>
      <c r="D48" s="377">
        <f t="shared" si="0"/>
        <v>1600</v>
      </c>
      <c r="E48" s="377">
        <f t="shared" si="1"/>
      </c>
      <c r="F48" s="377">
        <f t="shared" si="2"/>
      </c>
      <c r="G48" s="77"/>
      <c r="H48" s="89"/>
      <c r="I48" s="77"/>
      <c r="J48" s="78"/>
      <c r="K48" s="78"/>
      <c r="L48" s="142"/>
      <c r="M48" s="140"/>
      <c r="N48" s="78"/>
      <c r="O48" s="78"/>
      <c r="P48" s="89"/>
      <c r="Q48" s="77"/>
      <c r="R48" s="78"/>
      <c r="S48" s="140"/>
      <c r="T48" s="78"/>
      <c r="U48" s="140"/>
      <c r="V48" s="152">
        <v>1600</v>
      </c>
      <c r="W48" s="74"/>
      <c r="X48" s="75"/>
      <c r="Y48" s="75"/>
      <c r="Z48" s="76"/>
      <c r="AA48" s="85"/>
      <c r="AB48" s="86"/>
      <c r="AC48" s="86"/>
      <c r="AD48" s="87"/>
    </row>
    <row r="49" spans="1:30" ht="12.75">
      <c r="A49" s="62">
        <v>37</v>
      </c>
      <c r="B49" s="89" t="s">
        <v>9</v>
      </c>
      <c r="C49" s="307">
        <f>IF(MIN(D49:V49)=0,"  No Criteria",MIN(D49:V49))</f>
        <v>11</v>
      </c>
      <c r="D49" s="377">
        <f t="shared" si="0"/>
        <v>11</v>
      </c>
      <c r="E49" s="377">
        <f t="shared" si="1"/>
      </c>
      <c r="F49" s="377">
        <f t="shared" si="2"/>
      </c>
      <c r="G49" s="77"/>
      <c r="H49" s="89"/>
      <c r="I49" s="77"/>
      <c r="J49" s="78"/>
      <c r="K49" s="78"/>
      <c r="L49" s="142"/>
      <c r="M49" s="140"/>
      <c r="N49" s="78"/>
      <c r="O49" s="78"/>
      <c r="P49" s="89"/>
      <c r="Q49" s="77"/>
      <c r="R49" s="78"/>
      <c r="S49" s="140"/>
      <c r="T49" s="78"/>
      <c r="U49" s="140"/>
      <c r="V49" s="149">
        <v>11</v>
      </c>
      <c r="W49" s="74"/>
      <c r="X49" s="75"/>
      <c r="Y49" s="75"/>
      <c r="Z49" s="76"/>
      <c r="AA49" s="85"/>
      <c r="AB49" s="86"/>
      <c r="AC49" s="86"/>
      <c r="AD49" s="87"/>
    </row>
    <row r="50" spans="1:30" ht="12.75">
      <c r="A50" s="62">
        <v>38</v>
      </c>
      <c r="B50" s="89" t="s">
        <v>10</v>
      </c>
      <c r="C50" s="307">
        <f>IF(MIN(D50:V50)=0,"  No Criteria",MIN(D50:V50))</f>
        <v>8.85</v>
      </c>
      <c r="D50" s="377">
        <f t="shared" si="0"/>
        <v>8.85</v>
      </c>
      <c r="E50" s="377">
        <f t="shared" si="1"/>
      </c>
      <c r="F50" s="377">
        <f t="shared" si="2"/>
      </c>
      <c r="G50" s="77"/>
      <c r="H50" s="89"/>
      <c r="I50" s="77"/>
      <c r="J50" s="78"/>
      <c r="K50" s="78"/>
      <c r="L50" s="142"/>
      <c r="M50" s="140"/>
      <c r="N50" s="78"/>
      <c r="O50" s="78"/>
      <c r="P50" s="89"/>
      <c r="Q50" s="77"/>
      <c r="R50" s="78"/>
      <c r="S50" s="140"/>
      <c r="T50" s="78"/>
      <c r="U50" s="140"/>
      <c r="V50" s="150">
        <v>8.85</v>
      </c>
      <c r="W50" s="74"/>
      <c r="X50" s="75"/>
      <c r="Y50" s="75"/>
      <c r="Z50" s="76"/>
      <c r="AA50" s="85"/>
      <c r="AB50" s="86"/>
      <c r="AC50" s="86"/>
      <c r="AD50" s="87"/>
    </row>
    <row r="51" spans="1:30" ht="12.75">
      <c r="A51" s="62">
        <v>39</v>
      </c>
      <c r="B51" s="89" t="s">
        <v>11</v>
      </c>
      <c r="C51" s="307">
        <f>IF(MIN(D51:V51)=0,"  No Criteria",MIN(D51:V51))</f>
        <v>200000</v>
      </c>
      <c r="D51" s="377">
        <f t="shared" si="0"/>
        <v>200000</v>
      </c>
      <c r="E51" s="377">
        <f t="shared" si="1"/>
      </c>
      <c r="F51" s="377">
        <f t="shared" si="2"/>
      </c>
      <c r="G51" s="77"/>
      <c r="H51" s="89"/>
      <c r="I51" s="77"/>
      <c r="J51" s="78"/>
      <c r="K51" s="78"/>
      <c r="L51" s="142"/>
      <c r="M51" s="140"/>
      <c r="N51" s="78"/>
      <c r="O51" s="78"/>
      <c r="P51" s="89"/>
      <c r="Q51" s="77"/>
      <c r="R51" s="78"/>
      <c r="S51" s="140"/>
      <c r="T51" s="78"/>
      <c r="U51" s="140"/>
      <c r="V51" s="152">
        <v>200000</v>
      </c>
      <c r="W51" s="74"/>
      <c r="X51" s="75"/>
      <c r="Y51" s="75"/>
      <c r="Z51" s="76"/>
      <c r="AA51" s="85"/>
      <c r="AB51" s="86"/>
      <c r="AC51" s="86"/>
      <c r="AD51" s="87"/>
    </row>
    <row r="52" spans="1:30" ht="12.75">
      <c r="A52" s="62">
        <v>40</v>
      </c>
      <c r="B52" s="89" t="s">
        <v>12</v>
      </c>
      <c r="C52" s="307">
        <f>IF(MIN(D52:V52)=0,"  No Criteria",MIN(D52:V52))</f>
        <v>140000</v>
      </c>
      <c r="D52" s="377">
        <f t="shared" si="0"/>
        <v>140000</v>
      </c>
      <c r="E52" s="377">
        <f t="shared" si="1"/>
      </c>
      <c r="F52" s="377">
        <f t="shared" si="2"/>
      </c>
      <c r="G52" s="77"/>
      <c r="H52" s="89"/>
      <c r="I52" s="77"/>
      <c r="J52" s="78"/>
      <c r="K52" s="78"/>
      <c r="L52" s="142"/>
      <c r="M52" s="140"/>
      <c r="N52" s="78"/>
      <c r="O52" s="78"/>
      <c r="P52" s="89"/>
      <c r="Q52" s="77"/>
      <c r="R52" s="78"/>
      <c r="S52" s="140"/>
      <c r="T52" s="78"/>
      <c r="U52" s="140"/>
      <c r="V52" s="152">
        <v>140000</v>
      </c>
      <c r="W52" s="74"/>
      <c r="X52" s="75"/>
      <c r="Y52" s="75"/>
      <c r="Z52" s="76"/>
      <c r="AA52" s="85"/>
      <c r="AB52" s="86"/>
      <c r="AC52" s="86"/>
      <c r="AD52" s="87"/>
    </row>
    <row r="53" spans="1:30" ht="12.75">
      <c r="A53" s="62">
        <v>41</v>
      </c>
      <c r="B53" s="89" t="s">
        <v>13</v>
      </c>
      <c r="C53" s="308" t="str">
        <f>IF(MIN(D53:V53)=0,"No Criteria",MIN(D53:V53))</f>
        <v>No Criteria</v>
      </c>
      <c r="D53" s="377">
        <f t="shared" si="0"/>
      </c>
      <c r="E53" s="377">
        <f t="shared" si="1"/>
      </c>
      <c r="F53" s="377">
        <f t="shared" si="2"/>
      </c>
      <c r="G53" s="77"/>
      <c r="H53" s="89"/>
      <c r="I53" s="77"/>
      <c r="J53" s="78"/>
      <c r="K53" s="78"/>
      <c r="L53" s="142"/>
      <c r="M53" s="140"/>
      <c r="N53" s="78"/>
      <c r="O53" s="78"/>
      <c r="P53" s="89"/>
      <c r="Q53" s="77"/>
      <c r="R53" s="78"/>
      <c r="S53" s="140"/>
      <c r="T53" s="78"/>
      <c r="U53" s="140"/>
      <c r="V53" s="149"/>
      <c r="W53" s="74"/>
      <c r="X53" s="75"/>
      <c r="Y53" s="75"/>
      <c r="Z53" s="76"/>
      <c r="AA53" s="85"/>
      <c r="AB53" s="86"/>
      <c r="AC53" s="86"/>
      <c r="AD53" s="87"/>
    </row>
    <row r="54" spans="1:30" ht="12.75">
      <c r="A54" s="62">
        <v>42</v>
      </c>
      <c r="B54" s="89" t="s">
        <v>14</v>
      </c>
      <c r="C54" s="307">
        <f aca="true" t="shared" si="5" ref="C54:C61">IF(MIN(D54:V54)=0,"  No Criteria",MIN(D54:V54))</f>
        <v>42</v>
      </c>
      <c r="D54" s="377">
        <f t="shared" si="0"/>
        <v>42</v>
      </c>
      <c r="E54" s="377">
        <f t="shared" si="1"/>
      </c>
      <c r="F54" s="377">
        <f t="shared" si="2"/>
      </c>
      <c r="G54" s="77"/>
      <c r="H54" s="89"/>
      <c r="I54" s="77"/>
      <c r="J54" s="78"/>
      <c r="K54" s="78"/>
      <c r="L54" s="142"/>
      <c r="M54" s="140"/>
      <c r="N54" s="78"/>
      <c r="O54" s="78"/>
      <c r="P54" s="89"/>
      <c r="Q54" s="77"/>
      <c r="R54" s="78"/>
      <c r="S54" s="140"/>
      <c r="T54" s="78"/>
      <c r="U54" s="140"/>
      <c r="V54" s="149">
        <v>42</v>
      </c>
      <c r="W54" s="74"/>
      <c r="X54" s="75"/>
      <c r="Y54" s="75"/>
      <c r="Z54" s="76"/>
      <c r="AA54" s="85"/>
      <c r="AB54" s="86"/>
      <c r="AC54" s="86"/>
      <c r="AD54" s="87"/>
    </row>
    <row r="55" spans="1:30" ht="12.75">
      <c r="A55" s="62">
        <v>43</v>
      </c>
      <c r="B55" s="89" t="s">
        <v>15</v>
      </c>
      <c r="C55" s="307">
        <f t="shared" si="5"/>
        <v>81</v>
      </c>
      <c r="D55" s="377">
        <f t="shared" si="0"/>
        <v>81</v>
      </c>
      <c r="E55" s="377">
        <f t="shared" si="1"/>
      </c>
      <c r="F55" s="377">
        <f t="shared" si="2"/>
      </c>
      <c r="G55" s="77"/>
      <c r="H55" s="89"/>
      <c r="I55" s="77"/>
      <c r="J55" s="78"/>
      <c r="K55" s="78"/>
      <c r="L55" s="142"/>
      <c r="M55" s="140"/>
      <c r="N55" s="78"/>
      <c r="O55" s="78"/>
      <c r="P55" s="89"/>
      <c r="Q55" s="77"/>
      <c r="R55" s="78"/>
      <c r="S55" s="140"/>
      <c r="T55" s="78"/>
      <c r="U55" s="140"/>
      <c r="V55" s="149">
        <v>81</v>
      </c>
      <c r="W55" s="74"/>
      <c r="X55" s="75"/>
      <c r="Y55" s="75"/>
      <c r="Z55" s="76"/>
      <c r="AA55" s="85"/>
      <c r="AB55" s="86"/>
      <c r="AC55" s="86"/>
      <c r="AD55" s="87"/>
    </row>
    <row r="56" spans="1:30" ht="12.75">
      <c r="A56" s="62">
        <v>44</v>
      </c>
      <c r="B56" s="89" t="s">
        <v>16</v>
      </c>
      <c r="C56" s="307">
        <f t="shared" si="5"/>
        <v>525</v>
      </c>
      <c r="D56" s="377">
        <f t="shared" si="0"/>
        <v>525</v>
      </c>
      <c r="E56" s="377">
        <f t="shared" si="1"/>
      </c>
      <c r="F56" s="377">
        <f t="shared" si="2"/>
      </c>
      <c r="G56" s="77"/>
      <c r="H56" s="89"/>
      <c r="I56" s="77"/>
      <c r="J56" s="78"/>
      <c r="K56" s="78"/>
      <c r="L56" s="142"/>
      <c r="M56" s="140"/>
      <c r="N56" s="78"/>
      <c r="O56" s="78"/>
      <c r="P56" s="89"/>
      <c r="Q56" s="77"/>
      <c r="R56" s="78"/>
      <c r="S56" s="140"/>
      <c r="T56" s="78"/>
      <c r="U56" s="140"/>
      <c r="V56" s="149">
        <v>525</v>
      </c>
      <c r="W56" s="74"/>
      <c r="X56" s="75"/>
      <c r="Y56" s="75"/>
      <c r="Z56" s="76"/>
      <c r="AA56" s="85"/>
      <c r="AB56" s="86"/>
      <c r="AC56" s="86"/>
      <c r="AD56" s="87"/>
    </row>
    <row r="57" spans="1:30" ht="12.75">
      <c r="A57" s="62">
        <v>45</v>
      </c>
      <c r="B57" s="89" t="s">
        <v>17</v>
      </c>
      <c r="C57" s="307">
        <f t="shared" si="5"/>
        <v>400</v>
      </c>
      <c r="D57" s="377">
        <f t="shared" si="0"/>
        <v>400</v>
      </c>
      <c r="E57" s="377">
        <f t="shared" si="1"/>
      </c>
      <c r="F57" s="377">
        <f t="shared" si="2"/>
      </c>
      <c r="G57" s="77"/>
      <c r="H57" s="89"/>
      <c r="I57" s="77"/>
      <c r="J57" s="78"/>
      <c r="K57" s="78"/>
      <c r="L57" s="142"/>
      <c r="M57" s="140"/>
      <c r="N57" s="78"/>
      <c r="O57" s="78"/>
      <c r="P57" s="89"/>
      <c r="Q57" s="77"/>
      <c r="R57" s="78"/>
      <c r="S57" s="140"/>
      <c r="T57" s="78"/>
      <c r="U57" s="140"/>
      <c r="V57" s="149">
        <v>400</v>
      </c>
      <c r="W57" s="74"/>
      <c r="X57" s="75"/>
      <c r="Y57" s="75"/>
      <c r="Z57" s="76"/>
      <c r="AA57" s="85"/>
      <c r="AB57" s="86"/>
      <c r="AC57" s="86"/>
      <c r="AD57" s="87"/>
    </row>
    <row r="58" spans="1:30" ht="12.75">
      <c r="A58" s="62">
        <v>46</v>
      </c>
      <c r="B58" s="89" t="s">
        <v>18</v>
      </c>
      <c r="C58" s="307">
        <f t="shared" si="5"/>
        <v>790</v>
      </c>
      <c r="D58" s="377">
        <f t="shared" si="0"/>
        <v>790</v>
      </c>
      <c r="E58" s="377">
        <f t="shared" si="1"/>
      </c>
      <c r="F58" s="377">
        <f t="shared" si="2"/>
      </c>
      <c r="G58" s="77"/>
      <c r="H58" s="89"/>
      <c r="I58" s="77"/>
      <c r="J58" s="78"/>
      <c r="K58" s="78"/>
      <c r="L58" s="142"/>
      <c r="M58" s="140"/>
      <c r="N58" s="78"/>
      <c r="O58" s="78"/>
      <c r="P58" s="89"/>
      <c r="Q58" s="77"/>
      <c r="R58" s="78"/>
      <c r="S58" s="140"/>
      <c r="T58" s="78"/>
      <c r="U58" s="140"/>
      <c r="V58" s="149">
        <v>790</v>
      </c>
      <c r="W58" s="74"/>
      <c r="X58" s="75"/>
      <c r="Y58" s="75"/>
      <c r="Z58" s="76"/>
      <c r="AA58" s="85"/>
      <c r="AB58" s="86"/>
      <c r="AC58" s="86"/>
      <c r="AD58" s="87"/>
    </row>
    <row r="59" spans="1:30" ht="12.75">
      <c r="A59" s="62">
        <v>47</v>
      </c>
      <c r="B59" s="89" t="s">
        <v>19</v>
      </c>
      <c r="C59" s="307">
        <f t="shared" si="5"/>
        <v>2300</v>
      </c>
      <c r="D59" s="377">
        <f t="shared" si="0"/>
        <v>2300</v>
      </c>
      <c r="E59" s="377">
        <f t="shared" si="1"/>
      </c>
      <c r="F59" s="377">
        <f t="shared" si="2"/>
      </c>
      <c r="G59" s="77"/>
      <c r="H59" s="89"/>
      <c r="I59" s="77"/>
      <c r="J59" s="78"/>
      <c r="K59" s="78"/>
      <c r="L59" s="142"/>
      <c r="M59" s="140"/>
      <c r="N59" s="78"/>
      <c r="O59" s="78"/>
      <c r="P59" s="89"/>
      <c r="Q59" s="77"/>
      <c r="R59" s="78"/>
      <c r="S59" s="140"/>
      <c r="T59" s="78"/>
      <c r="U59" s="140"/>
      <c r="V59" s="152">
        <v>2300</v>
      </c>
      <c r="W59" s="74"/>
      <c r="X59" s="75"/>
      <c r="Y59" s="75"/>
      <c r="Z59" s="76"/>
      <c r="AA59" s="85"/>
      <c r="AB59" s="86"/>
      <c r="AC59" s="86"/>
      <c r="AD59" s="87"/>
    </row>
    <row r="60" spans="1:30" ht="12.75">
      <c r="A60" s="62">
        <v>48</v>
      </c>
      <c r="B60" s="89" t="s">
        <v>111</v>
      </c>
      <c r="C60" s="307">
        <f t="shared" si="5"/>
        <v>765</v>
      </c>
      <c r="D60" s="377">
        <f t="shared" si="0"/>
        <v>765</v>
      </c>
      <c r="E60" s="377">
        <f t="shared" si="1"/>
      </c>
      <c r="F60" s="377">
        <f t="shared" si="2"/>
      </c>
      <c r="G60" s="77"/>
      <c r="H60" s="89"/>
      <c r="I60" s="77"/>
      <c r="J60" s="78"/>
      <c r="K60" s="78"/>
      <c r="L60" s="142"/>
      <c r="M60" s="140"/>
      <c r="N60" s="78"/>
      <c r="O60" s="78"/>
      <c r="P60" s="89"/>
      <c r="Q60" s="77"/>
      <c r="R60" s="78"/>
      <c r="S60" s="140"/>
      <c r="T60" s="78"/>
      <c r="U60" s="140"/>
      <c r="V60" s="149">
        <v>765</v>
      </c>
      <c r="W60" s="74"/>
      <c r="X60" s="75"/>
      <c r="Y60" s="75"/>
      <c r="Z60" s="76"/>
      <c r="AA60" s="85"/>
      <c r="AB60" s="86"/>
      <c r="AC60" s="86"/>
      <c r="AD60" s="87"/>
    </row>
    <row r="61" spans="1:30" ht="12.75">
      <c r="A61" s="62">
        <v>49</v>
      </c>
      <c r="B61" s="89" t="s">
        <v>112</v>
      </c>
      <c r="C61" s="307">
        <f t="shared" si="5"/>
        <v>14000</v>
      </c>
      <c r="D61" s="377">
        <f t="shared" si="0"/>
        <v>14000</v>
      </c>
      <c r="E61" s="377">
        <f t="shared" si="1"/>
      </c>
      <c r="F61" s="377">
        <f t="shared" si="2"/>
      </c>
      <c r="G61" s="77"/>
      <c r="H61" s="89"/>
      <c r="I61" s="77"/>
      <c r="J61" s="78"/>
      <c r="K61" s="78"/>
      <c r="L61" s="142"/>
      <c r="M61" s="140"/>
      <c r="N61" s="78"/>
      <c r="O61" s="78"/>
      <c r="P61" s="89"/>
      <c r="Q61" s="77"/>
      <c r="R61" s="78"/>
      <c r="S61" s="140"/>
      <c r="T61" s="78"/>
      <c r="U61" s="140"/>
      <c r="V61" s="152">
        <v>14000</v>
      </c>
      <c r="W61" s="74"/>
      <c r="X61" s="75"/>
      <c r="Y61" s="75"/>
      <c r="Z61" s="76"/>
      <c r="AA61" s="85"/>
      <c r="AB61" s="86"/>
      <c r="AC61" s="86"/>
      <c r="AD61" s="87"/>
    </row>
    <row r="62" spans="1:30" ht="12.75">
      <c r="A62" s="62">
        <v>50</v>
      </c>
      <c r="B62" s="89" t="s">
        <v>113</v>
      </c>
      <c r="C62" s="308" t="str">
        <f>IF(MIN(D62:V62)=0,"No Criteria",MIN(D62:V62))</f>
        <v>No Criteria</v>
      </c>
      <c r="D62" s="377">
        <f t="shared" si="0"/>
      </c>
      <c r="E62" s="377">
        <f t="shared" si="1"/>
      </c>
      <c r="F62" s="377">
        <f t="shared" si="2"/>
      </c>
      <c r="G62" s="77"/>
      <c r="H62" s="89"/>
      <c r="I62" s="77"/>
      <c r="J62" s="78"/>
      <c r="K62" s="78"/>
      <c r="L62" s="142"/>
      <c r="M62" s="140"/>
      <c r="N62" s="78"/>
      <c r="O62" s="78"/>
      <c r="P62" s="89"/>
      <c r="Q62" s="77"/>
      <c r="R62" s="78"/>
      <c r="S62" s="140"/>
      <c r="T62" s="78"/>
      <c r="U62" s="140"/>
      <c r="V62" s="149"/>
      <c r="W62" s="74"/>
      <c r="X62" s="75"/>
      <c r="Y62" s="75"/>
      <c r="Z62" s="76"/>
      <c r="AA62" s="85"/>
      <c r="AB62" s="86"/>
      <c r="AC62" s="86"/>
      <c r="AD62" s="87"/>
    </row>
    <row r="63" spans="1:30" ht="12.75">
      <c r="A63" s="62">
        <v>51</v>
      </c>
      <c r="B63" s="89" t="s">
        <v>114</v>
      </c>
      <c r="C63" s="308" t="str">
        <f>IF(MIN(D63:V63)=0,"No Criteria",MIN(D63:V63))</f>
        <v>No Criteria</v>
      </c>
      <c r="D63" s="377">
        <f t="shared" si="0"/>
      </c>
      <c r="E63" s="377">
        <f t="shared" si="1"/>
      </c>
      <c r="F63" s="377">
        <f t="shared" si="2"/>
      </c>
      <c r="G63" s="77"/>
      <c r="H63" s="89"/>
      <c r="I63" s="77"/>
      <c r="J63" s="78"/>
      <c r="K63" s="78"/>
      <c r="L63" s="142"/>
      <c r="M63" s="140"/>
      <c r="N63" s="78"/>
      <c r="O63" s="78"/>
      <c r="P63" s="89"/>
      <c r="Q63" s="77"/>
      <c r="R63" s="78"/>
      <c r="S63" s="140"/>
      <c r="T63" s="78"/>
      <c r="U63" s="140"/>
      <c r="V63" s="149"/>
      <c r="W63" s="74"/>
      <c r="X63" s="75"/>
      <c r="Y63" s="75"/>
      <c r="Z63" s="76"/>
      <c r="AA63" s="85"/>
      <c r="AB63" s="86"/>
      <c r="AC63" s="86"/>
      <c r="AD63" s="87"/>
    </row>
    <row r="64" spans="1:30" ht="12.75">
      <c r="A64" s="62">
        <v>52</v>
      </c>
      <c r="B64" s="89" t="s">
        <v>115</v>
      </c>
      <c r="C64" s="308" t="str">
        <f>IF(MIN(D64:V64)=0,"No Criteria",MIN(D64:V64))</f>
        <v>No Criteria</v>
      </c>
      <c r="D64" s="377">
        <f t="shared" si="0"/>
      </c>
      <c r="E64" s="377">
        <f t="shared" si="1"/>
      </c>
      <c r="F64" s="377">
        <f t="shared" si="2"/>
      </c>
      <c r="G64" s="77"/>
      <c r="H64" s="89"/>
      <c r="I64" s="77"/>
      <c r="J64" s="78"/>
      <c r="K64" s="78"/>
      <c r="L64" s="142"/>
      <c r="M64" s="140"/>
      <c r="N64" s="78"/>
      <c r="O64" s="78"/>
      <c r="P64" s="89"/>
      <c r="Q64" s="77"/>
      <c r="R64" s="78"/>
      <c r="S64" s="140"/>
      <c r="T64" s="78"/>
      <c r="U64" s="140"/>
      <c r="V64" s="149"/>
      <c r="W64" s="74"/>
      <c r="X64" s="75"/>
      <c r="Y64" s="75"/>
      <c r="Z64" s="76"/>
      <c r="AA64" s="85"/>
      <c r="AB64" s="86"/>
      <c r="AC64" s="86"/>
      <c r="AD64" s="87"/>
    </row>
    <row r="65" spans="1:30" ht="12.75">
      <c r="A65" s="62">
        <v>53</v>
      </c>
      <c r="B65" s="89" t="s">
        <v>116</v>
      </c>
      <c r="C65" s="307">
        <f>IF(MIN(D65:V65)=0,"  No Criteria",MIN(D65:V65))</f>
        <v>7.9</v>
      </c>
      <c r="D65" s="377">
        <f t="shared" si="0"/>
        <v>8.2</v>
      </c>
      <c r="E65" s="377">
        <f t="shared" si="1"/>
        <v>7.9</v>
      </c>
      <c r="F65" s="377">
        <f t="shared" si="2"/>
        <v>13</v>
      </c>
      <c r="G65" s="77"/>
      <c r="H65" s="89"/>
      <c r="I65" s="77"/>
      <c r="J65" s="78"/>
      <c r="K65" s="78"/>
      <c r="L65" s="142"/>
      <c r="M65" s="140"/>
      <c r="N65" s="78"/>
      <c r="O65" s="78"/>
      <c r="P65" s="89"/>
      <c r="Q65" s="154">
        <f>EXP(1.005*($C$3)-4.869)</f>
        <v>13.039718906289174</v>
      </c>
      <c r="R65" s="155">
        <f>EXP(1.005*($C$3)-5.134)</f>
        <v>10.004149930917706</v>
      </c>
      <c r="S65" s="114">
        <v>13</v>
      </c>
      <c r="T65" s="91">
        <v>7.9</v>
      </c>
      <c r="U65" s="156"/>
      <c r="V65" s="151">
        <v>8.2</v>
      </c>
      <c r="W65" s="74"/>
      <c r="X65" s="75"/>
      <c r="Y65" s="75"/>
      <c r="Z65" s="76"/>
      <c r="AA65" s="85"/>
      <c r="AB65" s="86"/>
      <c r="AC65" s="86"/>
      <c r="AD65" s="87"/>
    </row>
    <row r="66" spans="1:30" ht="12.75">
      <c r="A66" s="62">
        <v>54</v>
      </c>
      <c r="B66" s="89" t="s">
        <v>117</v>
      </c>
      <c r="C66" s="307">
        <f>IF(MIN(D66:V66)=0,"  No Criteria",MIN(D66:V66))</f>
        <v>4600000</v>
      </c>
      <c r="D66" s="377">
        <f t="shared" si="0"/>
        <v>4600000</v>
      </c>
      <c r="E66" s="377">
        <f t="shared" si="1"/>
      </c>
      <c r="F66" s="377">
        <f t="shared" si="2"/>
      </c>
      <c r="G66" s="77"/>
      <c r="H66" s="127"/>
      <c r="I66" s="77"/>
      <c r="J66" s="78"/>
      <c r="K66" s="78"/>
      <c r="L66" s="142"/>
      <c r="M66" s="140"/>
      <c r="N66" s="78"/>
      <c r="O66" s="78"/>
      <c r="P66" s="89"/>
      <c r="Q66" s="77"/>
      <c r="R66" s="78"/>
      <c r="S66" s="140"/>
      <c r="T66" s="78"/>
      <c r="U66" s="140"/>
      <c r="V66" s="152">
        <v>4600000</v>
      </c>
      <c r="W66" s="74"/>
      <c r="X66" s="75"/>
      <c r="Y66" s="75"/>
      <c r="Z66" s="76"/>
      <c r="AA66" s="85"/>
      <c r="AB66" s="86"/>
      <c r="AC66" s="86"/>
      <c r="AD66" s="87"/>
    </row>
    <row r="67" spans="1:30" ht="12.75">
      <c r="A67" s="62">
        <v>55</v>
      </c>
      <c r="B67" s="89" t="s">
        <v>118</v>
      </c>
      <c r="C67" s="307">
        <f>IF(MIN(D67:V67)=0,"  No Criteria",MIN(D67:V67))</f>
        <v>6.5</v>
      </c>
      <c r="D67" s="377">
        <f t="shared" si="0"/>
        <v>6.5</v>
      </c>
      <c r="E67" s="377">
        <f t="shared" si="1"/>
      </c>
      <c r="F67" s="377">
        <f t="shared" si="2"/>
      </c>
      <c r="G67" s="77"/>
      <c r="H67" s="89"/>
      <c r="I67" s="77"/>
      <c r="J67" s="78"/>
      <c r="K67" s="78"/>
      <c r="L67" s="142"/>
      <c r="M67" s="140"/>
      <c r="N67" s="78"/>
      <c r="O67" s="78"/>
      <c r="P67" s="89"/>
      <c r="Q67" s="77"/>
      <c r="R67" s="78"/>
      <c r="S67" s="140"/>
      <c r="T67" s="78"/>
      <c r="U67" s="140"/>
      <c r="V67" s="151">
        <v>6.5</v>
      </c>
      <c r="W67" s="74"/>
      <c r="X67" s="75"/>
      <c r="Y67" s="75"/>
      <c r="Z67" s="76"/>
      <c r="AA67" s="85"/>
      <c r="AB67" s="86"/>
      <c r="AC67" s="86"/>
      <c r="AD67" s="87"/>
    </row>
    <row r="68" spans="1:30" ht="12.75">
      <c r="A68" s="62">
        <v>56</v>
      </c>
      <c r="B68" s="89" t="s">
        <v>119</v>
      </c>
      <c r="C68" s="307">
        <f>IF(MIN(D68:V68)=0,"  No Criteria",MIN(D68:V68))</f>
        <v>2700</v>
      </c>
      <c r="D68" s="377">
        <f t="shared" si="0"/>
        <v>2700</v>
      </c>
      <c r="E68" s="377">
        <f t="shared" si="1"/>
      </c>
      <c r="F68" s="377">
        <f t="shared" si="2"/>
      </c>
      <c r="G68" s="77"/>
      <c r="H68" s="89"/>
      <c r="I68" s="77"/>
      <c r="J68" s="78"/>
      <c r="K68" s="78"/>
      <c r="L68" s="142"/>
      <c r="M68" s="140"/>
      <c r="N68" s="78"/>
      <c r="O68" s="78"/>
      <c r="P68" s="89"/>
      <c r="Q68" s="77"/>
      <c r="R68" s="78"/>
      <c r="S68" s="140"/>
      <c r="T68" s="78"/>
      <c r="U68" s="140"/>
      <c r="V68" s="152">
        <v>2700</v>
      </c>
      <c r="W68" s="74"/>
      <c r="X68" s="75"/>
      <c r="Y68" s="75"/>
      <c r="Z68" s="76"/>
      <c r="AA68" s="85"/>
      <c r="AB68" s="86"/>
      <c r="AC68" s="86"/>
      <c r="AD68" s="87"/>
    </row>
    <row r="69" spans="1:30" ht="12.75">
      <c r="A69" s="62">
        <v>57</v>
      </c>
      <c r="B69" s="89" t="s">
        <v>120</v>
      </c>
      <c r="C69" s="308" t="str">
        <f>IF(MIN(D69:V69)=0,"No Criteria",MIN(D69:V69))</f>
        <v>No Criteria</v>
      </c>
      <c r="D69" s="377">
        <f t="shared" si="0"/>
      </c>
      <c r="E69" s="377">
        <f t="shared" si="1"/>
      </c>
      <c r="F69" s="377">
        <f t="shared" si="2"/>
      </c>
      <c r="G69" s="77"/>
      <c r="H69" s="89"/>
      <c r="I69" s="77"/>
      <c r="J69" s="78"/>
      <c r="K69" s="78"/>
      <c r="L69" s="142"/>
      <c r="M69" s="140"/>
      <c r="N69" s="78"/>
      <c r="O69" s="78"/>
      <c r="P69" s="89"/>
      <c r="Q69" s="77"/>
      <c r="R69" s="78"/>
      <c r="S69" s="140"/>
      <c r="T69" s="78"/>
      <c r="U69" s="140"/>
      <c r="V69" s="149"/>
      <c r="W69" s="74"/>
      <c r="X69" s="75"/>
      <c r="Y69" s="75"/>
      <c r="Z69" s="76"/>
      <c r="AA69" s="85"/>
      <c r="AB69" s="86"/>
      <c r="AC69" s="86"/>
      <c r="AD69" s="87"/>
    </row>
    <row r="70" spans="1:30" ht="12.75">
      <c r="A70" s="62">
        <v>58</v>
      </c>
      <c r="B70" s="89" t="s">
        <v>121</v>
      </c>
      <c r="C70" s="307">
        <f>IF(MIN(D70:V70)=0,"  No Criteria",MIN(D70:V70))</f>
        <v>110000</v>
      </c>
      <c r="D70" s="377">
        <f t="shared" si="0"/>
        <v>110000</v>
      </c>
      <c r="E70" s="377">
        <f t="shared" si="1"/>
      </c>
      <c r="F70" s="377">
        <f t="shared" si="2"/>
      </c>
      <c r="G70" s="77"/>
      <c r="H70" s="89"/>
      <c r="I70" s="77"/>
      <c r="J70" s="78"/>
      <c r="K70" s="78"/>
      <c r="L70" s="142"/>
      <c r="M70" s="140"/>
      <c r="N70" s="78"/>
      <c r="O70" s="78"/>
      <c r="P70" s="89"/>
      <c r="Q70" s="77"/>
      <c r="R70" s="78"/>
      <c r="S70" s="140"/>
      <c r="T70" s="78"/>
      <c r="U70" s="140"/>
      <c r="V70" s="152">
        <v>110000</v>
      </c>
      <c r="W70" s="74"/>
      <c r="X70" s="75"/>
      <c r="Y70" s="75"/>
      <c r="Z70" s="76"/>
      <c r="AA70" s="85"/>
      <c r="AB70" s="86"/>
      <c r="AC70" s="86"/>
      <c r="AD70" s="87"/>
    </row>
    <row r="71" spans="1:30" ht="12.75">
      <c r="A71" s="62">
        <v>59</v>
      </c>
      <c r="B71" s="89" t="s">
        <v>122</v>
      </c>
      <c r="C71" s="307">
        <f>IF(MIN(D71:V71)=0,"  No Criteria",MIN(D71:V71))</f>
        <v>0.00054</v>
      </c>
      <c r="D71" s="377">
        <f t="shared" si="0"/>
        <v>0.00054</v>
      </c>
      <c r="E71" s="377">
        <f t="shared" si="1"/>
      </c>
      <c r="F71" s="377">
        <f t="shared" si="2"/>
      </c>
      <c r="G71" s="77"/>
      <c r="H71" s="89"/>
      <c r="I71" s="77"/>
      <c r="J71" s="78"/>
      <c r="K71" s="78"/>
      <c r="L71" s="142"/>
      <c r="M71" s="140"/>
      <c r="N71" s="78"/>
      <c r="O71" s="78"/>
      <c r="P71" s="89"/>
      <c r="Q71" s="77"/>
      <c r="R71" s="78"/>
      <c r="S71" s="140"/>
      <c r="T71" s="78"/>
      <c r="U71" s="140"/>
      <c r="V71" s="157">
        <v>0.00054</v>
      </c>
      <c r="W71" s="74"/>
      <c r="X71" s="75"/>
      <c r="Y71" s="75"/>
      <c r="Z71" s="76"/>
      <c r="AA71" s="85"/>
      <c r="AB71" s="86"/>
      <c r="AC71" s="86"/>
      <c r="AD71" s="87"/>
    </row>
    <row r="72" spans="1:78" ht="12.75">
      <c r="A72" s="62">
        <v>60</v>
      </c>
      <c r="B72" s="89" t="s">
        <v>123</v>
      </c>
      <c r="C72" s="307">
        <f>IF(MIN(D72:V72)=0,"  No Criteria",MIN(D72:V72))</f>
        <v>0.049</v>
      </c>
      <c r="D72" s="377">
        <f t="shared" si="0"/>
        <v>0.049</v>
      </c>
      <c r="E72" s="377">
        <f t="shared" si="1"/>
      </c>
      <c r="F72" s="377">
        <f t="shared" si="2"/>
      </c>
      <c r="G72" s="77"/>
      <c r="H72" s="158"/>
      <c r="I72" s="159"/>
      <c r="J72" s="160"/>
      <c r="K72" s="160"/>
      <c r="L72" s="161"/>
      <c r="M72" s="162"/>
      <c r="N72" s="160"/>
      <c r="O72" s="160"/>
      <c r="P72" s="158"/>
      <c r="Q72" s="159"/>
      <c r="R72" s="160"/>
      <c r="S72" s="162"/>
      <c r="T72" s="160"/>
      <c r="U72" s="140"/>
      <c r="V72" s="163">
        <v>0.049</v>
      </c>
      <c r="W72" s="164"/>
      <c r="X72" s="165"/>
      <c r="Y72" s="165"/>
      <c r="Z72" s="166"/>
      <c r="AA72" s="167"/>
      <c r="AB72" s="168"/>
      <c r="AC72" s="168"/>
      <c r="AD72" s="169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</row>
    <row r="73" spans="1:78" ht="12.75">
      <c r="A73" s="62">
        <v>61</v>
      </c>
      <c r="B73" s="89" t="s">
        <v>124</v>
      </c>
      <c r="C73" s="307">
        <f>IF(MIN(D73:V73)=0,"  No Criteria",MIN(D73:V73))</f>
        <v>0.049</v>
      </c>
      <c r="D73" s="377">
        <f t="shared" si="0"/>
        <v>0.049</v>
      </c>
      <c r="E73" s="377">
        <f t="shared" si="1"/>
      </c>
      <c r="F73" s="377">
        <f t="shared" si="2"/>
      </c>
      <c r="G73" s="77"/>
      <c r="H73" s="158"/>
      <c r="I73" s="159"/>
      <c r="J73" s="160"/>
      <c r="K73" s="160"/>
      <c r="L73" s="161"/>
      <c r="M73" s="162"/>
      <c r="N73" s="160"/>
      <c r="O73" s="160"/>
      <c r="P73" s="158"/>
      <c r="Q73" s="159"/>
      <c r="R73" s="160"/>
      <c r="S73" s="162"/>
      <c r="T73" s="160"/>
      <c r="U73" s="140"/>
      <c r="V73" s="163">
        <v>0.049</v>
      </c>
      <c r="W73" s="164"/>
      <c r="X73" s="165"/>
      <c r="Y73" s="165"/>
      <c r="Z73" s="166"/>
      <c r="AA73" s="167"/>
      <c r="AB73" s="168"/>
      <c r="AC73" s="168"/>
      <c r="AD73" s="169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</row>
    <row r="74" spans="1:78" ht="12.75">
      <c r="A74" s="62">
        <v>62</v>
      </c>
      <c r="B74" s="89" t="s">
        <v>125</v>
      </c>
      <c r="C74" s="307">
        <f>IF(MIN(D74:V74)=0,"  No Criteria",MIN(D74:V74))</f>
        <v>0.049</v>
      </c>
      <c r="D74" s="377">
        <f t="shared" si="0"/>
        <v>0.049</v>
      </c>
      <c r="E74" s="377">
        <f t="shared" si="1"/>
      </c>
      <c r="F74" s="377">
        <f t="shared" si="2"/>
      </c>
      <c r="G74" s="77"/>
      <c r="H74" s="158"/>
      <c r="I74" s="159"/>
      <c r="J74" s="160"/>
      <c r="K74" s="160"/>
      <c r="L74" s="161"/>
      <c r="M74" s="162"/>
      <c r="N74" s="160"/>
      <c r="O74" s="160"/>
      <c r="P74" s="158"/>
      <c r="Q74" s="159"/>
      <c r="R74" s="160"/>
      <c r="S74" s="162"/>
      <c r="T74" s="160"/>
      <c r="U74" s="140"/>
      <c r="V74" s="163">
        <v>0.049</v>
      </c>
      <c r="W74" s="164"/>
      <c r="X74" s="165"/>
      <c r="Y74" s="165"/>
      <c r="Z74" s="166"/>
      <c r="AA74" s="167"/>
      <c r="AB74" s="168"/>
      <c r="AC74" s="168"/>
      <c r="AD74" s="169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</row>
    <row r="75" spans="1:30" ht="12.75">
      <c r="A75" s="62">
        <v>63</v>
      </c>
      <c r="B75" s="89" t="s">
        <v>126</v>
      </c>
      <c r="C75" s="308" t="str">
        <f>IF(MIN(D75:V75)=0,"No Criteria",MIN(D75:V75))</f>
        <v>No Criteria</v>
      </c>
      <c r="D75" s="377">
        <f t="shared" si="0"/>
      </c>
      <c r="E75" s="377">
        <f t="shared" si="1"/>
      </c>
      <c r="F75" s="377">
        <f t="shared" si="2"/>
      </c>
      <c r="G75" s="77"/>
      <c r="H75" s="89"/>
      <c r="I75" s="77"/>
      <c r="J75" s="78"/>
      <c r="K75" s="78"/>
      <c r="L75" s="142"/>
      <c r="M75" s="140"/>
      <c r="N75" s="78"/>
      <c r="O75" s="78"/>
      <c r="P75" s="89"/>
      <c r="Q75" s="77"/>
      <c r="R75" s="78"/>
      <c r="S75" s="140"/>
      <c r="T75" s="78"/>
      <c r="U75" s="140"/>
      <c r="V75" s="153"/>
      <c r="W75" s="74"/>
      <c r="X75" s="75"/>
      <c r="Y75" s="75"/>
      <c r="Z75" s="76"/>
      <c r="AA75" s="85"/>
      <c r="AB75" s="86"/>
      <c r="AC75" s="86"/>
      <c r="AD75" s="87"/>
    </row>
    <row r="76" spans="1:78" ht="12.75">
      <c r="A76" s="62">
        <v>64</v>
      </c>
      <c r="B76" s="89" t="s">
        <v>127</v>
      </c>
      <c r="C76" s="307">
        <f>IF(MIN(D76:V76)=0,"  No Criteria",MIN(D76:V76))</f>
        <v>0.049</v>
      </c>
      <c r="D76" s="377">
        <f t="shared" si="0"/>
        <v>0.049</v>
      </c>
      <c r="E76" s="377">
        <f t="shared" si="1"/>
      </c>
      <c r="F76" s="377">
        <f t="shared" si="2"/>
      </c>
      <c r="G76" s="77"/>
      <c r="H76" s="158"/>
      <c r="I76" s="159"/>
      <c r="J76" s="160"/>
      <c r="K76" s="160"/>
      <c r="L76" s="161"/>
      <c r="M76" s="162"/>
      <c r="N76" s="160"/>
      <c r="O76" s="160"/>
      <c r="P76" s="158"/>
      <c r="Q76" s="159"/>
      <c r="R76" s="160"/>
      <c r="S76" s="162"/>
      <c r="T76" s="160"/>
      <c r="U76" s="140"/>
      <c r="V76" s="163">
        <v>0.049</v>
      </c>
      <c r="W76" s="164"/>
      <c r="X76" s="165"/>
      <c r="Y76" s="165"/>
      <c r="Z76" s="166"/>
      <c r="AA76" s="167"/>
      <c r="AB76" s="168"/>
      <c r="AC76" s="168"/>
      <c r="AD76" s="169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</row>
    <row r="77" spans="1:30" ht="12.75">
      <c r="A77" s="62">
        <v>65</v>
      </c>
      <c r="B77" s="89" t="s">
        <v>128</v>
      </c>
      <c r="C77" s="308" t="str">
        <f>IF(MIN(D77:V77)=0,"No Criteria",MIN(D77:V77))</f>
        <v>No Criteria</v>
      </c>
      <c r="D77" s="377">
        <f aca="true" t="shared" si="6" ref="D77:D134">IF(SUM(U77:V77)=0,"",MIN(U77:V77))</f>
      </c>
      <c r="E77" s="377">
        <f aca="true" t="shared" si="7" ref="E77:E134">IF(SUM(I77,K77,M77,O77,R77,T77)=0,"",MIN(I77,K77,M77,O77,R77,T77))</f>
      </c>
      <c r="F77" s="377">
        <f aca="true" t="shared" si="8" ref="F77:F134">IF(SUM(J77,L77,N77,P77,Q77,S77)=0,"",MIN(J77,L77,N77,P77,Q77,S77))</f>
      </c>
      <c r="G77" s="77"/>
      <c r="H77" s="89"/>
      <c r="I77" s="77"/>
      <c r="J77" s="78"/>
      <c r="K77" s="78"/>
      <c r="L77" s="142"/>
      <c r="M77" s="140"/>
      <c r="N77" s="78"/>
      <c r="O77" s="78"/>
      <c r="P77" s="89"/>
      <c r="Q77" s="77"/>
      <c r="R77" s="78"/>
      <c r="S77" s="140"/>
      <c r="T77" s="78"/>
      <c r="U77" s="140"/>
      <c r="V77" s="153"/>
      <c r="W77" s="74"/>
      <c r="X77" s="75"/>
      <c r="Y77" s="75"/>
      <c r="Z77" s="76"/>
      <c r="AA77" s="85"/>
      <c r="AB77" s="86"/>
      <c r="AC77" s="86"/>
      <c r="AD77" s="87"/>
    </row>
    <row r="78" spans="1:30" ht="12.75">
      <c r="A78" s="62">
        <v>66</v>
      </c>
      <c r="B78" s="89" t="s">
        <v>129</v>
      </c>
      <c r="C78" s="307">
        <f>IF(MIN(D78:V78)=0,"  No Criteria",MIN(D78:V78))</f>
        <v>1.4</v>
      </c>
      <c r="D78" s="377">
        <f t="shared" si="6"/>
        <v>1.4</v>
      </c>
      <c r="E78" s="377">
        <f t="shared" si="7"/>
      </c>
      <c r="F78" s="377">
        <f t="shared" si="8"/>
      </c>
      <c r="G78" s="77"/>
      <c r="H78" s="89"/>
      <c r="I78" s="77"/>
      <c r="J78" s="78"/>
      <c r="K78" s="78"/>
      <c r="L78" s="142"/>
      <c r="M78" s="140"/>
      <c r="N78" s="78"/>
      <c r="O78" s="78"/>
      <c r="P78" s="89"/>
      <c r="Q78" s="77"/>
      <c r="R78" s="78"/>
      <c r="S78" s="140"/>
      <c r="T78" s="78"/>
      <c r="U78" s="140"/>
      <c r="V78" s="151">
        <v>1.4</v>
      </c>
      <c r="W78" s="74"/>
      <c r="X78" s="75"/>
      <c r="Y78" s="75"/>
      <c r="Z78" s="76"/>
      <c r="AA78" s="85"/>
      <c r="AB78" s="86"/>
      <c r="AC78" s="86"/>
      <c r="AD78" s="87"/>
    </row>
    <row r="79" spans="1:30" ht="12.75">
      <c r="A79" s="62">
        <v>67</v>
      </c>
      <c r="B79" s="89" t="s">
        <v>130</v>
      </c>
      <c r="C79" s="307">
        <f>IF(MIN(D79:V79)=0,"  No Criteria",MIN(D79:V79))</f>
        <v>170000</v>
      </c>
      <c r="D79" s="377">
        <f t="shared" si="6"/>
        <v>170000</v>
      </c>
      <c r="E79" s="377">
        <f t="shared" si="7"/>
      </c>
      <c r="F79" s="377">
        <f t="shared" si="8"/>
      </c>
      <c r="G79" s="77"/>
      <c r="H79" s="89"/>
      <c r="I79" s="77"/>
      <c r="J79" s="78"/>
      <c r="K79" s="78"/>
      <c r="L79" s="142"/>
      <c r="M79" s="140"/>
      <c r="N79" s="78"/>
      <c r="O79" s="78"/>
      <c r="P79" s="89"/>
      <c r="Q79" s="77"/>
      <c r="R79" s="78"/>
      <c r="S79" s="140"/>
      <c r="T79" s="78"/>
      <c r="U79" s="140"/>
      <c r="V79" s="152">
        <v>170000</v>
      </c>
      <c r="W79" s="74"/>
      <c r="X79" s="75"/>
      <c r="Y79" s="75"/>
      <c r="Z79" s="76"/>
      <c r="AA79" s="85"/>
      <c r="AB79" s="86"/>
      <c r="AC79" s="86"/>
      <c r="AD79" s="87"/>
    </row>
    <row r="80" spans="1:30" ht="12.75">
      <c r="A80" s="62">
        <v>68</v>
      </c>
      <c r="B80" s="89" t="s">
        <v>131</v>
      </c>
      <c r="C80" s="307">
        <f>IF(MIN(D80:V80)=0,"  No Criteria",MIN(D80:V80))</f>
        <v>5.9</v>
      </c>
      <c r="D80" s="377">
        <f t="shared" si="6"/>
        <v>5.9</v>
      </c>
      <c r="E80" s="377">
        <f t="shared" si="7"/>
      </c>
      <c r="F80" s="377">
        <f t="shared" si="8"/>
      </c>
      <c r="G80" s="77"/>
      <c r="H80" s="89"/>
      <c r="I80" s="77"/>
      <c r="J80" s="78"/>
      <c r="K80" s="78"/>
      <c r="L80" s="142"/>
      <c r="M80" s="140"/>
      <c r="N80" s="78"/>
      <c r="O80" s="78"/>
      <c r="P80" s="89"/>
      <c r="Q80" s="77"/>
      <c r="R80" s="78"/>
      <c r="S80" s="140"/>
      <c r="T80" s="78"/>
      <c r="U80" s="140"/>
      <c r="V80" s="151">
        <v>5.9</v>
      </c>
      <c r="W80" s="74"/>
      <c r="X80" s="75"/>
      <c r="Y80" s="75"/>
      <c r="Z80" s="76"/>
      <c r="AA80" s="85"/>
      <c r="AB80" s="86"/>
      <c r="AC80" s="86"/>
      <c r="AD80" s="87"/>
    </row>
    <row r="81" spans="1:30" ht="12.75">
      <c r="A81" s="62">
        <v>69</v>
      </c>
      <c r="B81" s="89" t="s">
        <v>132</v>
      </c>
      <c r="C81" s="308" t="str">
        <f>IF(MIN(D81:V81)=0,"No Criteria",MIN(D81:V81))</f>
        <v>No Criteria</v>
      </c>
      <c r="D81" s="377">
        <f t="shared" si="6"/>
      </c>
      <c r="E81" s="377">
        <f t="shared" si="7"/>
      </c>
      <c r="F81" s="377">
        <f t="shared" si="8"/>
      </c>
      <c r="G81" s="77"/>
      <c r="H81" s="89"/>
      <c r="I81" s="77"/>
      <c r="J81" s="78"/>
      <c r="K81" s="78"/>
      <c r="L81" s="142"/>
      <c r="M81" s="140"/>
      <c r="N81" s="78"/>
      <c r="O81" s="78"/>
      <c r="P81" s="89"/>
      <c r="Q81" s="77"/>
      <c r="R81" s="78"/>
      <c r="S81" s="140"/>
      <c r="T81" s="78"/>
      <c r="U81" s="140"/>
      <c r="V81" s="153"/>
      <c r="W81" s="74"/>
      <c r="X81" s="75"/>
      <c r="Y81" s="75"/>
      <c r="Z81" s="76"/>
      <c r="AA81" s="85"/>
      <c r="AB81" s="86"/>
      <c r="AC81" s="86"/>
      <c r="AD81" s="87"/>
    </row>
    <row r="82" spans="1:30" ht="12.75">
      <c r="A82" s="62">
        <v>70</v>
      </c>
      <c r="B82" s="89" t="s">
        <v>133</v>
      </c>
      <c r="C82" s="307">
        <f>IF(MIN(D82:V82)=0,"  No Criteria",MIN(D82:V82))</f>
        <v>5200</v>
      </c>
      <c r="D82" s="377">
        <f t="shared" si="6"/>
        <v>5200</v>
      </c>
      <c r="E82" s="377">
        <f t="shared" si="7"/>
      </c>
      <c r="F82" s="377">
        <f t="shared" si="8"/>
      </c>
      <c r="G82" s="77"/>
      <c r="H82" s="89"/>
      <c r="I82" s="77"/>
      <c r="J82" s="78"/>
      <c r="K82" s="78"/>
      <c r="L82" s="142"/>
      <c r="M82" s="140"/>
      <c r="N82" s="78"/>
      <c r="O82" s="78"/>
      <c r="P82" s="89"/>
      <c r="Q82" s="77"/>
      <c r="R82" s="78"/>
      <c r="S82" s="140"/>
      <c r="T82" s="78"/>
      <c r="U82" s="140"/>
      <c r="V82" s="152">
        <v>5200</v>
      </c>
      <c r="W82" s="74"/>
      <c r="X82" s="75"/>
      <c r="Y82" s="75"/>
      <c r="Z82" s="76"/>
      <c r="AA82" s="85"/>
      <c r="AB82" s="86"/>
      <c r="AC82" s="86"/>
      <c r="AD82" s="87"/>
    </row>
    <row r="83" spans="1:30" ht="12.75">
      <c r="A83" s="62">
        <v>71</v>
      </c>
      <c r="B83" s="89" t="s">
        <v>134</v>
      </c>
      <c r="C83" s="307">
        <f>IF(MIN(D83:V83)=0,"  No Criteria",MIN(D83:V83))</f>
        <v>4300</v>
      </c>
      <c r="D83" s="377">
        <f t="shared" si="6"/>
        <v>4300</v>
      </c>
      <c r="E83" s="377">
        <f t="shared" si="7"/>
      </c>
      <c r="F83" s="377">
        <f t="shared" si="8"/>
      </c>
      <c r="G83" s="77"/>
      <c r="H83" s="89"/>
      <c r="I83" s="77"/>
      <c r="J83" s="78"/>
      <c r="K83" s="78"/>
      <c r="L83" s="142"/>
      <c r="M83" s="140"/>
      <c r="N83" s="78"/>
      <c r="O83" s="78"/>
      <c r="P83" s="89"/>
      <c r="Q83" s="77"/>
      <c r="R83" s="78"/>
      <c r="S83" s="140"/>
      <c r="T83" s="78"/>
      <c r="U83" s="140"/>
      <c r="V83" s="152">
        <v>4300</v>
      </c>
      <c r="W83" s="74"/>
      <c r="X83" s="75"/>
      <c r="Y83" s="75"/>
      <c r="Z83" s="76"/>
      <c r="AA83" s="85"/>
      <c r="AB83" s="86"/>
      <c r="AC83" s="86"/>
      <c r="AD83" s="87"/>
    </row>
    <row r="84" spans="1:30" ht="12.75">
      <c r="A84" s="62">
        <v>72</v>
      </c>
      <c r="B84" s="89" t="s">
        <v>135</v>
      </c>
      <c r="C84" s="308" t="str">
        <f>IF(MIN(D84:V84)=0,"No Criteria",MIN(D84:V84))</f>
        <v>No Criteria</v>
      </c>
      <c r="D84" s="377">
        <f t="shared" si="6"/>
      </c>
      <c r="E84" s="377">
        <f t="shared" si="7"/>
      </c>
      <c r="F84" s="377">
        <f t="shared" si="8"/>
      </c>
      <c r="G84" s="77"/>
      <c r="H84" s="89"/>
      <c r="I84" s="77"/>
      <c r="J84" s="78"/>
      <c r="K84" s="78"/>
      <c r="L84" s="142"/>
      <c r="M84" s="140"/>
      <c r="N84" s="78"/>
      <c r="O84" s="78"/>
      <c r="P84" s="89"/>
      <c r="Q84" s="77"/>
      <c r="R84" s="78"/>
      <c r="S84" s="140"/>
      <c r="T84" s="78"/>
      <c r="U84" s="140"/>
      <c r="V84" s="153"/>
      <c r="W84" s="74"/>
      <c r="X84" s="75"/>
      <c r="Y84" s="75"/>
      <c r="Z84" s="76"/>
      <c r="AA84" s="85"/>
      <c r="AB84" s="86"/>
      <c r="AC84" s="86"/>
      <c r="AD84" s="87"/>
    </row>
    <row r="85" spans="1:78" ht="12.75">
      <c r="A85" s="171">
        <v>73</v>
      </c>
      <c r="B85" s="89" t="s">
        <v>136</v>
      </c>
      <c r="C85" s="307">
        <f aca="true" t="shared" si="9" ref="C85:C94">IF(MIN(D85:V85)=0,"  No Criteria",MIN(D85:V85))</f>
        <v>0.049</v>
      </c>
      <c r="D85" s="377">
        <f t="shared" si="6"/>
        <v>0.049</v>
      </c>
      <c r="E85" s="377">
        <f t="shared" si="7"/>
      </c>
      <c r="F85" s="377">
        <f t="shared" si="8"/>
      </c>
      <c r="G85" s="77"/>
      <c r="H85" s="158"/>
      <c r="I85" s="159"/>
      <c r="J85" s="160"/>
      <c r="K85" s="160"/>
      <c r="L85" s="161"/>
      <c r="M85" s="162"/>
      <c r="N85" s="160"/>
      <c r="O85" s="160"/>
      <c r="P85" s="158"/>
      <c r="Q85" s="159"/>
      <c r="R85" s="160"/>
      <c r="S85" s="162"/>
      <c r="T85" s="160"/>
      <c r="U85" s="140"/>
      <c r="V85" s="163">
        <v>0.049</v>
      </c>
      <c r="W85" s="164"/>
      <c r="X85" s="165"/>
      <c r="Y85" s="165"/>
      <c r="Z85" s="166"/>
      <c r="AA85" s="167"/>
      <c r="AB85" s="168"/>
      <c r="AC85" s="168"/>
      <c r="AD85" s="169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</row>
    <row r="86" spans="1:78" ht="12.75">
      <c r="A86" s="171">
        <v>74</v>
      </c>
      <c r="B86" s="89" t="s">
        <v>137</v>
      </c>
      <c r="C86" s="307">
        <f t="shared" si="9"/>
        <v>0.049</v>
      </c>
      <c r="D86" s="377">
        <f t="shared" si="6"/>
        <v>0.049</v>
      </c>
      <c r="E86" s="377">
        <f t="shared" si="7"/>
      </c>
      <c r="F86" s="377">
        <f t="shared" si="8"/>
      </c>
      <c r="G86" s="77"/>
      <c r="H86" s="158"/>
      <c r="I86" s="159"/>
      <c r="J86" s="160"/>
      <c r="K86" s="160"/>
      <c r="L86" s="161"/>
      <c r="M86" s="162"/>
      <c r="N86" s="160"/>
      <c r="O86" s="160"/>
      <c r="P86" s="158"/>
      <c r="Q86" s="159"/>
      <c r="R86" s="160"/>
      <c r="S86" s="162"/>
      <c r="T86" s="160"/>
      <c r="U86" s="140"/>
      <c r="V86" s="163">
        <v>0.049</v>
      </c>
      <c r="W86" s="164"/>
      <c r="X86" s="165"/>
      <c r="Y86" s="165"/>
      <c r="Z86" s="166"/>
      <c r="AA86" s="167"/>
      <c r="AB86" s="168"/>
      <c r="AC86" s="168"/>
      <c r="AD86" s="169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</row>
    <row r="87" spans="1:30" ht="12.75">
      <c r="A87" s="62">
        <v>75</v>
      </c>
      <c r="B87" s="89" t="s">
        <v>138</v>
      </c>
      <c r="C87" s="307">
        <f t="shared" si="9"/>
        <v>17000</v>
      </c>
      <c r="D87" s="377">
        <f t="shared" si="6"/>
        <v>17000</v>
      </c>
      <c r="E87" s="377">
        <f t="shared" si="7"/>
      </c>
      <c r="F87" s="377">
        <f t="shared" si="8"/>
      </c>
      <c r="G87" s="77"/>
      <c r="H87" s="89"/>
      <c r="I87" s="77"/>
      <c r="J87" s="78"/>
      <c r="K87" s="78"/>
      <c r="L87" s="142"/>
      <c r="M87" s="140"/>
      <c r="N87" s="78"/>
      <c r="O87" s="78"/>
      <c r="P87" s="89"/>
      <c r="Q87" s="77"/>
      <c r="R87" s="78"/>
      <c r="S87" s="140"/>
      <c r="T87" s="78"/>
      <c r="U87" s="140"/>
      <c r="V87" s="152">
        <v>17000</v>
      </c>
      <c r="W87" s="74"/>
      <c r="X87" s="75"/>
      <c r="Y87" s="75"/>
      <c r="Z87" s="76"/>
      <c r="AA87" s="85"/>
      <c r="AB87" s="86"/>
      <c r="AC87" s="86"/>
      <c r="AD87" s="87"/>
    </row>
    <row r="88" spans="1:30" ht="12.75">
      <c r="A88" s="62">
        <v>76</v>
      </c>
      <c r="B88" s="89" t="s">
        <v>139</v>
      </c>
      <c r="C88" s="307">
        <f t="shared" si="9"/>
        <v>2600</v>
      </c>
      <c r="D88" s="377">
        <f t="shared" si="6"/>
        <v>2600</v>
      </c>
      <c r="E88" s="377">
        <f t="shared" si="7"/>
      </c>
      <c r="F88" s="377">
        <f t="shared" si="8"/>
      </c>
      <c r="G88" s="77"/>
      <c r="H88" s="89"/>
      <c r="I88" s="77"/>
      <c r="J88" s="78"/>
      <c r="K88" s="78"/>
      <c r="L88" s="142"/>
      <c r="M88" s="140"/>
      <c r="N88" s="78"/>
      <c r="O88" s="78"/>
      <c r="P88" s="89"/>
      <c r="Q88" s="77"/>
      <c r="R88" s="78"/>
      <c r="S88" s="140"/>
      <c r="T88" s="78"/>
      <c r="U88" s="140"/>
      <c r="V88" s="152">
        <v>2600</v>
      </c>
      <c r="W88" s="74"/>
      <c r="X88" s="75"/>
      <c r="Y88" s="75"/>
      <c r="Z88" s="76"/>
      <c r="AA88" s="85"/>
      <c r="AB88" s="86"/>
      <c r="AC88" s="86"/>
      <c r="AD88" s="87"/>
    </row>
    <row r="89" spans="1:30" ht="12.75">
      <c r="A89" s="62">
        <v>77</v>
      </c>
      <c r="B89" s="89" t="s">
        <v>140</v>
      </c>
      <c r="C89" s="307">
        <f t="shared" si="9"/>
        <v>2600</v>
      </c>
      <c r="D89" s="377">
        <f t="shared" si="6"/>
        <v>2600</v>
      </c>
      <c r="E89" s="377">
        <f t="shared" si="7"/>
      </c>
      <c r="F89" s="377">
        <f t="shared" si="8"/>
      </c>
      <c r="G89" s="77"/>
      <c r="H89" s="89"/>
      <c r="I89" s="77"/>
      <c r="J89" s="78"/>
      <c r="K89" s="78"/>
      <c r="L89" s="142"/>
      <c r="M89" s="140"/>
      <c r="N89" s="78"/>
      <c r="O89" s="78"/>
      <c r="P89" s="89"/>
      <c r="Q89" s="77"/>
      <c r="R89" s="78"/>
      <c r="S89" s="140"/>
      <c r="T89" s="78"/>
      <c r="U89" s="140"/>
      <c r="V89" s="152">
        <v>2600</v>
      </c>
      <c r="W89" s="74"/>
      <c r="X89" s="75"/>
      <c r="Y89" s="75"/>
      <c r="Z89" s="76"/>
      <c r="AA89" s="85"/>
      <c r="AB89" s="86"/>
      <c r="AC89" s="86"/>
      <c r="AD89" s="87"/>
    </row>
    <row r="90" spans="1:30" ht="12.75">
      <c r="A90" s="62">
        <v>78</v>
      </c>
      <c r="B90" s="89" t="s">
        <v>141</v>
      </c>
      <c r="C90" s="307">
        <f t="shared" si="9"/>
        <v>0.077</v>
      </c>
      <c r="D90" s="377">
        <f t="shared" si="6"/>
        <v>0.077</v>
      </c>
      <c r="E90" s="377">
        <f t="shared" si="7"/>
      </c>
      <c r="F90" s="377">
        <f t="shared" si="8"/>
      </c>
      <c r="G90" s="77"/>
      <c r="H90" s="89"/>
      <c r="I90" s="77"/>
      <c r="J90" s="78"/>
      <c r="K90" s="78"/>
      <c r="L90" s="142"/>
      <c r="M90" s="140"/>
      <c r="N90" s="78"/>
      <c r="O90" s="78"/>
      <c r="P90" s="89"/>
      <c r="Q90" s="77"/>
      <c r="R90" s="78"/>
      <c r="S90" s="140"/>
      <c r="T90" s="78"/>
      <c r="U90" s="140"/>
      <c r="V90" s="163">
        <v>0.077</v>
      </c>
      <c r="W90" s="74"/>
      <c r="X90" s="75"/>
      <c r="Y90" s="75"/>
      <c r="Z90" s="76"/>
      <c r="AA90" s="85"/>
      <c r="AB90" s="86"/>
      <c r="AC90" s="86"/>
      <c r="AD90" s="87"/>
    </row>
    <row r="91" spans="1:30" ht="12.75">
      <c r="A91" s="62">
        <v>79</v>
      </c>
      <c r="B91" s="89" t="s">
        <v>142</v>
      </c>
      <c r="C91" s="307">
        <f t="shared" si="9"/>
        <v>120000</v>
      </c>
      <c r="D91" s="377">
        <f t="shared" si="6"/>
        <v>120000</v>
      </c>
      <c r="E91" s="377">
        <f t="shared" si="7"/>
      </c>
      <c r="F91" s="377">
        <f t="shared" si="8"/>
      </c>
      <c r="G91" s="77"/>
      <c r="H91" s="89"/>
      <c r="I91" s="77"/>
      <c r="J91" s="78"/>
      <c r="K91" s="78"/>
      <c r="L91" s="142"/>
      <c r="M91" s="140"/>
      <c r="N91" s="78"/>
      <c r="O91" s="78"/>
      <c r="P91" s="89"/>
      <c r="Q91" s="77"/>
      <c r="R91" s="78"/>
      <c r="S91" s="140"/>
      <c r="T91" s="78"/>
      <c r="U91" s="140"/>
      <c r="V91" s="152">
        <v>120000</v>
      </c>
      <c r="W91" s="74"/>
      <c r="X91" s="75"/>
      <c r="Y91" s="75"/>
      <c r="Z91" s="76"/>
      <c r="AA91" s="85"/>
      <c r="AB91" s="86"/>
      <c r="AC91" s="86"/>
      <c r="AD91" s="87"/>
    </row>
    <row r="92" spans="1:30" ht="12.75">
      <c r="A92" s="62">
        <v>80</v>
      </c>
      <c r="B92" s="89" t="s">
        <v>143</v>
      </c>
      <c r="C92" s="307">
        <f t="shared" si="9"/>
        <v>2900000</v>
      </c>
      <c r="D92" s="377">
        <f t="shared" si="6"/>
        <v>2900000</v>
      </c>
      <c r="E92" s="377">
        <f t="shared" si="7"/>
      </c>
      <c r="F92" s="377">
        <f t="shared" si="8"/>
      </c>
      <c r="G92" s="77"/>
      <c r="H92" s="89"/>
      <c r="I92" s="77"/>
      <c r="J92" s="78"/>
      <c r="K92" s="78"/>
      <c r="L92" s="142"/>
      <c r="M92" s="140"/>
      <c r="N92" s="78"/>
      <c r="O92" s="78"/>
      <c r="P92" s="89"/>
      <c r="Q92" s="77"/>
      <c r="R92" s="78"/>
      <c r="S92" s="140"/>
      <c r="T92" s="78"/>
      <c r="U92" s="140"/>
      <c r="V92" s="152">
        <v>2900000</v>
      </c>
      <c r="W92" s="74"/>
      <c r="X92" s="75"/>
      <c r="Y92" s="75"/>
      <c r="Z92" s="76"/>
      <c r="AA92" s="85"/>
      <c r="AB92" s="86"/>
      <c r="AC92" s="86"/>
      <c r="AD92" s="87"/>
    </row>
    <row r="93" spans="1:30" ht="12.75">
      <c r="A93" s="62">
        <v>81</v>
      </c>
      <c r="B93" s="89" t="s">
        <v>144</v>
      </c>
      <c r="C93" s="307">
        <f t="shared" si="9"/>
        <v>12000</v>
      </c>
      <c r="D93" s="377">
        <f t="shared" si="6"/>
        <v>12000</v>
      </c>
      <c r="E93" s="377">
        <f t="shared" si="7"/>
      </c>
      <c r="F93" s="377">
        <f t="shared" si="8"/>
      </c>
      <c r="G93" s="77"/>
      <c r="H93" s="89"/>
      <c r="I93" s="77"/>
      <c r="J93" s="78"/>
      <c r="K93" s="78"/>
      <c r="L93" s="142"/>
      <c r="M93" s="140"/>
      <c r="N93" s="78"/>
      <c r="O93" s="78"/>
      <c r="P93" s="89"/>
      <c r="Q93" s="77"/>
      <c r="R93" s="78"/>
      <c r="S93" s="140"/>
      <c r="T93" s="78"/>
      <c r="U93" s="140"/>
      <c r="V93" s="152">
        <v>12000</v>
      </c>
      <c r="W93" s="74"/>
      <c r="X93" s="75"/>
      <c r="Y93" s="75"/>
      <c r="Z93" s="76"/>
      <c r="AA93" s="85"/>
      <c r="AB93" s="86"/>
      <c r="AC93" s="86"/>
      <c r="AD93" s="87"/>
    </row>
    <row r="94" spans="1:30" ht="12.75">
      <c r="A94" s="62">
        <v>82</v>
      </c>
      <c r="B94" s="89" t="s">
        <v>145</v>
      </c>
      <c r="C94" s="307">
        <f t="shared" si="9"/>
        <v>9.1</v>
      </c>
      <c r="D94" s="377">
        <f t="shared" si="6"/>
        <v>9.1</v>
      </c>
      <c r="E94" s="377">
        <f t="shared" si="7"/>
      </c>
      <c r="F94" s="377">
        <f t="shared" si="8"/>
      </c>
      <c r="G94" s="77"/>
      <c r="H94" s="89"/>
      <c r="I94" s="77"/>
      <c r="J94" s="78"/>
      <c r="K94" s="78"/>
      <c r="L94" s="142"/>
      <c r="M94" s="140"/>
      <c r="N94" s="78"/>
      <c r="O94" s="78"/>
      <c r="P94" s="89"/>
      <c r="Q94" s="77"/>
      <c r="R94" s="78"/>
      <c r="S94" s="140"/>
      <c r="T94" s="78"/>
      <c r="U94" s="140"/>
      <c r="V94" s="151">
        <v>9.1</v>
      </c>
      <c r="W94" s="74"/>
      <c r="X94" s="75"/>
      <c r="Y94" s="75"/>
      <c r="Z94" s="76"/>
      <c r="AA94" s="85"/>
      <c r="AB94" s="86"/>
      <c r="AC94" s="86"/>
      <c r="AD94" s="87"/>
    </row>
    <row r="95" spans="1:30" ht="12.75">
      <c r="A95" s="62">
        <v>83</v>
      </c>
      <c r="B95" s="89" t="s">
        <v>146</v>
      </c>
      <c r="C95" s="308" t="str">
        <f>IF(MIN(D95:V95)=0,"No Criteria",MIN(D95:V95))</f>
        <v>No Criteria</v>
      </c>
      <c r="D95" s="377">
        <f t="shared" si="6"/>
      </c>
      <c r="E95" s="377">
        <f t="shared" si="7"/>
      </c>
      <c r="F95" s="377">
        <f t="shared" si="8"/>
      </c>
      <c r="G95" s="77"/>
      <c r="H95" s="89"/>
      <c r="I95" s="77"/>
      <c r="J95" s="78"/>
      <c r="K95" s="78"/>
      <c r="L95" s="142"/>
      <c r="M95" s="140"/>
      <c r="N95" s="78"/>
      <c r="O95" s="78"/>
      <c r="P95" s="89"/>
      <c r="Q95" s="77"/>
      <c r="R95" s="78"/>
      <c r="S95" s="140"/>
      <c r="T95" s="78"/>
      <c r="U95" s="140"/>
      <c r="V95" s="153"/>
      <c r="W95" s="74"/>
      <c r="X95" s="75"/>
      <c r="Y95" s="75"/>
      <c r="Z95" s="76"/>
      <c r="AA95" s="85"/>
      <c r="AB95" s="86"/>
      <c r="AC95" s="86"/>
      <c r="AD95" s="87"/>
    </row>
    <row r="96" spans="1:30" ht="12.75">
      <c r="A96" s="62">
        <v>84</v>
      </c>
      <c r="B96" s="89" t="s">
        <v>147</v>
      </c>
      <c r="C96" s="308" t="str">
        <f>IF(MIN(D96:V96)=0,"No Criteria",MIN(D96:V96))</f>
        <v>No Criteria</v>
      </c>
      <c r="D96" s="377">
        <f t="shared" si="6"/>
      </c>
      <c r="E96" s="377">
        <f t="shared" si="7"/>
      </c>
      <c r="F96" s="377">
        <f t="shared" si="8"/>
      </c>
      <c r="G96" s="77"/>
      <c r="H96" s="89"/>
      <c r="I96" s="77"/>
      <c r="J96" s="78"/>
      <c r="K96" s="78"/>
      <c r="L96" s="142"/>
      <c r="M96" s="140"/>
      <c r="N96" s="78"/>
      <c r="O96" s="78"/>
      <c r="P96" s="89"/>
      <c r="Q96" s="77"/>
      <c r="R96" s="78"/>
      <c r="S96" s="140"/>
      <c r="T96" s="78"/>
      <c r="U96" s="140"/>
      <c r="V96" s="153"/>
      <c r="W96" s="74"/>
      <c r="X96" s="75"/>
      <c r="Y96" s="75"/>
      <c r="Z96" s="76"/>
      <c r="AA96" s="85"/>
      <c r="AB96" s="86"/>
      <c r="AC96" s="86"/>
      <c r="AD96" s="87"/>
    </row>
    <row r="97" spans="1:30" ht="12.75">
      <c r="A97" s="62">
        <v>85</v>
      </c>
      <c r="B97" s="89" t="s">
        <v>148</v>
      </c>
      <c r="C97" s="307">
        <f aca="true" t="shared" si="10" ref="C97:C105">IF(MIN(D97:V97)=0,"  No Criteria",MIN(D97:V97))</f>
        <v>0.54</v>
      </c>
      <c r="D97" s="377">
        <f t="shared" si="6"/>
        <v>0.54</v>
      </c>
      <c r="E97" s="377">
        <f t="shared" si="7"/>
      </c>
      <c r="F97" s="377">
        <f t="shared" si="8"/>
      </c>
      <c r="G97" s="77"/>
      <c r="H97" s="89"/>
      <c r="I97" s="77"/>
      <c r="J97" s="78"/>
      <c r="K97" s="78"/>
      <c r="L97" s="142"/>
      <c r="M97" s="140"/>
      <c r="N97" s="78"/>
      <c r="O97" s="78"/>
      <c r="P97" s="89"/>
      <c r="Q97" s="77"/>
      <c r="R97" s="78"/>
      <c r="S97" s="140"/>
      <c r="T97" s="78"/>
      <c r="U97" s="140"/>
      <c r="V97" s="150">
        <v>0.54</v>
      </c>
      <c r="W97" s="74"/>
      <c r="X97" s="75"/>
      <c r="Y97" s="75"/>
      <c r="Z97" s="76"/>
      <c r="AA97" s="85"/>
      <c r="AB97" s="86"/>
      <c r="AC97" s="86"/>
      <c r="AD97" s="87"/>
    </row>
    <row r="98" spans="1:30" ht="12.75">
      <c r="A98" s="62">
        <v>86</v>
      </c>
      <c r="B98" s="89" t="s">
        <v>149</v>
      </c>
      <c r="C98" s="307">
        <f t="shared" si="10"/>
        <v>370</v>
      </c>
      <c r="D98" s="377">
        <f t="shared" si="6"/>
        <v>370</v>
      </c>
      <c r="E98" s="377">
        <f t="shared" si="7"/>
      </c>
      <c r="F98" s="377">
        <f t="shared" si="8"/>
      </c>
      <c r="G98" s="77"/>
      <c r="H98" s="89"/>
      <c r="I98" s="77"/>
      <c r="J98" s="78"/>
      <c r="K98" s="78"/>
      <c r="L98" s="142"/>
      <c r="M98" s="140"/>
      <c r="N98" s="78"/>
      <c r="O98" s="78"/>
      <c r="P98" s="89"/>
      <c r="Q98" s="77"/>
      <c r="R98" s="78"/>
      <c r="S98" s="140"/>
      <c r="T98" s="78"/>
      <c r="U98" s="140"/>
      <c r="V98" s="149">
        <v>370</v>
      </c>
      <c r="W98" s="74"/>
      <c r="X98" s="75"/>
      <c r="Y98" s="75"/>
      <c r="Z98" s="76"/>
      <c r="AA98" s="85"/>
      <c r="AB98" s="86"/>
      <c r="AC98" s="86"/>
      <c r="AD98" s="87"/>
    </row>
    <row r="99" spans="1:30" ht="12.75">
      <c r="A99" s="62">
        <v>87</v>
      </c>
      <c r="B99" s="89" t="s">
        <v>150</v>
      </c>
      <c r="C99" s="307">
        <f t="shared" si="10"/>
        <v>14000</v>
      </c>
      <c r="D99" s="377">
        <f t="shared" si="6"/>
        <v>14000</v>
      </c>
      <c r="E99" s="377">
        <f t="shared" si="7"/>
      </c>
      <c r="F99" s="377">
        <f t="shared" si="8"/>
      </c>
      <c r="G99" s="77"/>
      <c r="H99" s="89"/>
      <c r="I99" s="77"/>
      <c r="J99" s="78"/>
      <c r="K99" s="78"/>
      <c r="L99" s="142"/>
      <c r="M99" s="140"/>
      <c r="N99" s="78"/>
      <c r="O99" s="78"/>
      <c r="P99" s="89"/>
      <c r="Q99" s="77"/>
      <c r="R99" s="78"/>
      <c r="S99" s="140"/>
      <c r="T99" s="78"/>
      <c r="U99" s="140"/>
      <c r="V99" s="152">
        <v>14000</v>
      </c>
      <c r="W99" s="74"/>
      <c r="X99" s="75"/>
      <c r="Y99" s="75"/>
      <c r="Z99" s="76"/>
      <c r="AA99" s="85"/>
      <c r="AB99" s="86"/>
      <c r="AC99" s="86"/>
      <c r="AD99" s="87"/>
    </row>
    <row r="100" spans="1:30" ht="12.75">
      <c r="A100" s="62">
        <v>88</v>
      </c>
      <c r="B100" s="89" t="s">
        <v>151</v>
      </c>
      <c r="C100" s="307">
        <f t="shared" si="10"/>
        <v>0.00077</v>
      </c>
      <c r="D100" s="377">
        <f t="shared" si="6"/>
        <v>0.00077</v>
      </c>
      <c r="E100" s="377">
        <f t="shared" si="7"/>
      </c>
      <c r="F100" s="377">
        <f t="shared" si="8"/>
      </c>
      <c r="G100" s="77"/>
      <c r="H100" s="89"/>
      <c r="I100" s="77"/>
      <c r="J100" s="78"/>
      <c r="K100" s="78"/>
      <c r="L100" s="142"/>
      <c r="M100" s="140"/>
      <c r="N100" s="78"/>
      <c r="O100" s="78"/>
      <c r="P100" s="89"/>
      <c r="Q100" s="77"/>
      <c r="R100" s="78"/>
      <c r="S100" s="140"/>
      <c r="T100" s="78"/>
      <c r="U100" s="140"/>
      <c r="V100" s="157">
        <v>0.00077</v>
      </c>
      <c r="W100" s="74"/>
      <c r="X100" s="75"/>
      <c r="Y100" s="75"/>
      <c r="Z100" s="76"/>
      <c r="AA100" s="85"/>
      <c r="AB100" s="86"/>
      <c r="AC100" s="86"/>
      <c r="AD100" s="87"/>
    </row>
    <row r="101" spans="1:30" ht="12.75">
      <c r="A101" s="62">
        <v>89</v>
      </c>
      <c r="B101" s="89" t="s">
        <v>152</v>
      </c>
      <c r="C101" s="307">
        <f t="shared" si="10"/>
        <v>50</v>
      </c>
      <c r="D101" s="377">
        <f t="shared" si="6"/>
        <v>50</v>
      </c>
      <c r="E101" s="377">
        <f t="shared" si="7"/>
      </c>
      <c r="F101" s="377">
        <f t="shared" si="8"/>
      </c>
      <c r="G101" s="77"/>
      <c r="H101" s="89"/>
      <c r="I101" s="77"/>
      <c r="J101" s="78"/>
      <c r="K101" s="78"/>
      <c r="L101" s="142"/>
      <c r="M101" s="140"/>
      <c r="N101" s="78"/>
      <c r="O101" s="78"/>
      <c r="P101" s="89"/>
      <c r="Q101" s="77"/>
      <c r="R101" s="78"/>
      <c r="S101" s="140"/>
      <c r="T101" s="78"/>
      <c r="U101" s="140"/>
      <c r="V101" s="149">
        <v>50</v>
      </c>
      <c r="W101" s="74"/>
      <c r="X101" s="75"/>
      <c r="Y101" s="75"/>
      <c r="Z101" s="76"/>
      <c r="AA101" s="85"/>
      <c r="AB101" s="86"/>
      <c r="AC101" s="86"/>
      <c r="AD101" s="87"/>
    </row>
    <row r="102" spans="1:30" ht="12.75">
      <c r="A102" s="62">
        <v>90</v>
      </c>
      <c r="B102" s="89" t="s">
        <v>153</v>
      </c>
      <c r="C102" s="307">
        <f t="shared" si="10"/>
        <v>17000</v>
      </c>
      <c r="D102" s="377">
        <f t="shared" si="6"/>
        <v>17000</v>
      </c>
      <c r="E102" s="377">
        <f t="shared" si="7"/>
      </c>
      <c r="F102" s="377">
        <f t="shared" si="8"/>
      </c>
      <c r="G102" s="77"/>
      <c r="H102" s="89"/>
      <c r="I102" s="77"/>
      <c r="J102" s="78"/>
      <c r="K102" s="78"/>
      <c r="L102" s="142"/>
      <c r="M102" s="140"/>
      <c r="N102" s="78"/>
      <c r="O102" s="78"/>
      <c r="P102" s="89"/>
      <c r="Q102" s="77"/>
      <c r="R102" s="78"/>
      <c r="S102" s="140"/>
      <c r="T102" s="78"/>
      <c r="U102" s="140"/>
      <c r="V102" s="152">
        <v>17000</v>
      </c>
      <c r="W102" s="74"/>
      <c r="X102" s="75"/>
      <c r="Y102" s="75"/>
      <c r="Z102" s="76"/>
      <c r="AA102" s="85"/>
      <c r="AB102" s="86"/>
      <c r="AC102" s="86"/>
      <c r="AD102" s="87"/>
    </row>
    <row r="103" spans="1:30" ht="12.75">
      <c r="A103" s="62">
        <v>91</v>
      </c>
      <c r="B103" s="89" t="s">
        <v>154</v>
      </c>
      <c r="C103" s="307">
        <f t="shared" si="10"/>
        <v>8.9</v>
      </c>
      <c r="D103" s="377">
        <f t="shared" si="6"/>
        <v>8.9</v>
      </c>
      <c r="E103" s="377">
        <f t="shared" si="7"/>
      </c>
      <c r="F103" s="377">
        <f t="shared" si="8"/>
      </c>
      <c r="G103" s="77"/>
      <c r="H103" s="89"/>
      <c r="I103" s="77"/>
      <c r="J103" s="78"/>
      <c r="K103" s="78"/>
      <c r="L103" s="142"/>
      <c r="M103" s="140"/>
      <c r="N103" s="78"/>
      <c r="O103" s="78"/>
      <c r="P103" s="89"/>
      <c r="Q103" s="77"/>
      <c r="R103" s="78"/>
      <c r="S103" s="140"/>
      <c r="T103" s="78"/>
      <c r="U103" s="140"/>
      <c r="V103" s="151">
        <v>8.9</v>
      </c>
      <c r="W103" s="74"/>
      <c r="X103" s="75"/>
      <c r="Y103" s="75"/>
      <c r="Z103" s="76"/>
      <c r="AA103" s="85"/>
      <c r="AB103" s="86"/>
      <c r="AC103" s="86"/>
      <c r="AD103" s="87"/>
    </row>
    <row r="104" spans="1:78" ht="12.75">
      <c r="A104" s="62">
        <v>92</v>
      </c>
      <c r="B104" s="89" t="s">
        <v>155</v>
      </c>
      <c r="C104" s="307">
        <f t="shared" si="10"/>
        <v>0.049</v>
      </c>
      <c r="D104" s="377">
        <f t="shared" si="6"/>
        <v>0.049</v>
      </c>
      <c r="E104" s="377">
        <f t="shared" si="7"/>
      </c>
      <c r="F104" s="377">
        <f t="shared" si="8"/>
      </c>
      <c r="G104" s="77"/>
      <c r="H104" s="158"/>
      <c r="I104" s="159"/>
      <c r="J104" s="160"/>
      <c r="K104" s="160"/>
      <c r="L104" s="161"/>
      <c r="M104" s="162"/>
      <c r="N104" s="160"/>
      <c r="O104" s="160"/>
      <c r="P104" s="158"/>
      <c r="Q104" s="159"/>
      <c r="R104" s="160"/>
      <c r="S104" s="162"/>
      <c r="T104" s="160"/>
      <c r="U104" s="140"/>
      <c r="V104" s="163">
        <v>0.049</v>
      </c>
      <c r="W104" s="164"/>
      <c r="X104" s="165"/>
      <c r="Y104" s="165"/>
      <c r="Z104" s="166"/>
      <c r="AA104" s="167"/>
      <c r="AB104" s="168"/>
      <c r="AC104" s="168"/>
      <c r="AD104" s="169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</row>
    <row r="105" spans="1:30" ht="12.75">
      <c r="A105" s="62">
        <v>93</v>
      </c>
      <c r="B105" s="89" t="s">
        <v>156</v>
      </c>
      <c r="C105" s="307">
        <f t="shared" si="10"/>
        <v>600</v>
      </c>
      <c r="D105" s="377">
        <f t="shared" si="6"/>
        <v>600</v>
      </c>
      <c r="E105" s="377">
        <f t="shared" si="7"/>
      </c>
      <c r="F105" s="377">
        <f t="shared" si="8"/>
      </c>
      <c r="G105" s="77"/>
      <c r="H105" s="89"/>
      <c r="I105" s="77"/>
      <c r="J105" s="78"/>
      <c r="K105" s="78"/>
      <c r="L105" s="142"/>
      <c r="M105" s="140"/>
      <c r="N105" s="78"/>
      <c r="O105" s="78"/>
      <c r="P105" s="89"/>
      <c r="Q105" s="77"/>
      <c r="R105" s="78"/>
      <c r="S105" s="140"/>
      <c r="T105" s="78"/>
      <c r="U105" s="140"/>
      <c r="V105" s="149">
        <v>600</v>
      </c>
      <c r="W105" s="74"/>
      <c r="X105" s="75"/>
      <c r="Y105" s="75"/>
      <c r="Z105" s="76"/>
      <c r="AA105" s="85"/>
      <c r="AB105" s="86"/>
      <c r="AC105" s="86"/>
      <c r="AD105" s="87"/>
    </row>
    <row r="106" spans="1:30" ht="12.75">
      <c r="A106" s="62">
        <v>94</v>
      </c>
      <c r="B106" s="89" t="s">
        <v>157</v>
      </c>
      <c r="C106" s="308" t="str">
        <f>IF(MIN(D106:V106)=0,"No Criteria",MIN(D106:V106))</f>
        <v>No Criteria</v>
      </c>
      <c r="D106" s="377">
        <f t="shared" si="6"/>
      </c>
      <c r="E106" s="377">
        <f t="shared" si="7"/>
      </c>
      <c r="F106" s="377">
        <f t="shared" si="8"/>
      </c>
      <c r="G106" s="77"/>
      <c r="H106" s="89"/>
      <c r="I106" s="77"/>
      <c r="J106" s="78"/>
      <c r="K106" s="78"/>
      <c r="L106" s="142"/>
      <c r="M106" s="140"/>
      <c r="N106" s="78"/>
      <c r="O106" s="78"/>
      <c r="P106" s="89"/>
      <c r="Q106" s="77"/>
      <c r="R106" s="78"/>
      <c r="S106" s="140"/>
      <c r="T106" s="78"/>
      <c r="U106" s="140"/>
      <c r="V106" s="153"/>
      <c r="W106" s="74"/>
      <c r="X106" s="75"/>
      <c r="Y106" s="75"/>
      <c r="Z106" s="76"/>
      <c r="AA106" s="85"/>
      <c r="AB106" s="86"/>
      <c r="AC106" s="86"/>
      <c r="AD106" s="87"/>
    </row>
    <row r="107" spans="1:30" ht="12.75">
      <c r="A107" s="62">
        <v>95</v>
      </c>
      <c r="B107" s="89" t="s">
        <v>158</v>
      </c>
      <c r="C107" s="307">
        <f>IF(MIN(D107:V107)=0,"  No Criteria",MIN(D107:V107))</f>
        <v>1900</v>
      </c>
      <c r="D107" s="377">
        <f t="shared" si="6"/>
        <v>1900</v>
      </c>
      <c r="E107" s="377">
        <f t="shared" si="7"/>
      </c>
      <c r="F107" s="377">
        <f t="shared" si="8"/>
      </c>
      <c r="G107" s="77"/>
      <c r="H107" s="89"/>
      <c r="I107" s="77"/>
      <c r="J107" s="78"/>
      <c r="K107" s="78"/>
      <c r="L107" s="142"/>
      <c r="M107" s="140"/>
      <c r="N107" s="78"/>
      <c r="O107" s="78"/>
      <c r="P107" s="89"/>
      <c r="Q107" s="77"/>
      <c r="R107" s="78"/>
      <c r="S107" s="140"/>
      <c r="T107" s="78"/>
      <c r="U107" s="140"/>
      <c r="V107" s="152">
        <v>1900</v>
      </c>
      <c r="W107" s="74"/>
      <c r="X107" s="75"/>
      <c r="Y107" s="75"/>
      <c r="Z107" s="76"/>
      <c r="AA107" s="85"/>
      <c r="AB107" s="86"/>
      <c r="AC107" s="86"/>
      <c r="AD107" s="87"/>
    </row>
    <row r="108" spans="1:30" ht="12.75">
      <c r="A108" s="62">
        <v>96</v>
      </c>
      <c r="B108" s="89" t="s">
        <v>159</v>
      </c>
      <c r="C108" s="307">
        <f>IF(MIN(D108:V108)=0,"  No Criteria",MIN(D108:V108))</f>
        <v>8.1</v>
      </c>
      <c r="D108" s="377">
        <f t="shared" si="6"/>
        <v>8.1</v>
      </c>
      <c r="E108" s="377">
        <f t="shared" si="7"/>
      </c>
      <c r="F108" s="377">
        <f t="shared" si="8"/>
      </c>
      <c r="G108" s="77"/>
      <c r="H108" s="89"/>
      <c r="I108" s="77"/>
      <c r="J108" s="78"/>
      <c r="K108" s="78"/>
      <c r="L108" s="142"/>
      <c r="M108" s="140"/>
      <c r="N108" s="78"/>
      <c r="O108" s="78"/>
      <c r="P108" s="89"/>
      <c r="Q108" s="77"/>
      <c r="R108" s="78"/>
      <c r="S108" s="140"/>
      <c r="T108" s="78"/>
      <c r="U108" s="140"/>
      <c r="V108" s="151">
        <v>8.1</v>
      </c>
      <c r="W108" s="74"/>
      <c r="X108" s="75"/>
      <c r="Y108" s="75"/>
      <c r="Z108" s="76"/>
      <c r="AA108" s="85"/>
      <c r="AB108" s="86"/>
      <c r="AC108" s="86"/>
      <c r="AD108" s="87"/>
    </row>
    <row r="109" spans="1:30" ht="12.75">
      <c r="A109" s="62">
        <v>97</v>
      </c>
      <c r="B109" s="89" t="s">
        <v>160</v>
      </c>
      <c r="C109" s="307">
        <f>IF(MIN(D109:V109)=0,"  No Criteria",MIN(D109:V109))</f>
        <v>1.4</v>
      </c>
      <c r="D109" s="377">
        <f t="shared" si="6"/>
        <v>1.4</v>
      </c>
      <c r="E109" s="377">
        <f t="shared" si="7"/>
      </c>
      <c r="F109" s="377">
        <f t="shared" si="8"/>
      </c>
      <c r="G109" s="77"/>
      <c r="H109" s="89"/>
      <c r="I109" s="77"/>
      <c r="J109" s="78"/>
      <c r="K109" s="78"/>
      <c r="L109" s="142"/>
      <c r="M109" s="140"/>
      <c r="N109" s="78"/>
      <c r="O109" s="78"/>
      <c r="P109" s="89"/>
      <c r="Q109" s="77"/>
      <c r="R109" s="78"/>
      <c r="S109" s="140"/>
      <c r="T109" s="78"/>
      <c r="U109" s="140"/>
      <c r="V109" s="151">
        <v>1.4</v>
      </c>
      <c r="W109" s="74"/>
      <c r="X109" s="75"/>
      <c r="Y109" s="75"/>
      <c r="Z109" s="76"/>
      <c r="AA109" s="85"/>
      <c r="AB109" s="86"/>
      <c r="AC109" s="86"/>
      <c r="AD109" s="87"/>
    </row>
    <row r="110" spans="1:30" ht="12.75">
      <c r="A110" s="62">
        <v>98</v>
      </c>
      <c r="B110" s="89" t="s">
        <v>161</v>
      </c>
      <c r="C110" s="307">
        <f>IF(MIN(D110:V110)=0,"  No Criteria",MIN(D110:V110))</f>
        <v>16</v>
      </c>
      <c r="D110" s="377">
        <f t="shared" si="6"/>
        <v>16</v>
      </c>
      <c r="E110" s="377">
        <f t="shared" si="7"/>
      </c>
      <c r="F110" s="377">
        <f t="shared" si="8"/>
      </c>
      <c r="G110" s="77"/>
      <c r="H110" s="89"/>
      <c r="I110" s="77"/>
      <c r="J110" s="78"/>
      <c r="K110" s="78"/>
      <c r="L110" s="142"/>
      <c r="M110" s="140"/>
      <c r="N110" s="78"/>
      <c r="O110" s="78"/>
      <c r="P110" s="89"/>
      <c r="Q110" s="77"/>
      <c r="R110" s="78"/>
      <c r="S110" s="140"/>
      <c r="T110" s="78"/>
      <c r="U110" s="140"/>
      <c r="V110" s="149">
        <v>16</v>
      </c>
      <c r="W110" s="74"/>
      <c r="X110" s="75"/>
      <c r="Y110" s="75"/>
      <c r="Z110" s="76"/>
      <c r="AA110" s="85"/>
      <c r="AB110" s="86"/>
      <c r="AC110" s="86"/>
      <c r="AD110" s="87"/>
    </row>
    <row r="111" spans="1:30" ht="12.75">
      <c r="A111" s="62">
        <v>99</v>
      </c>
      <c r="B111" s="89" t="s">
        <v>162</v>
      </c>
      <c r="C111" s="308" t="str">
        <f>IF(MIN(D111:V111)=0,"No Criteria",MIN(D111:V111))</f>
        <v>No Criteria</v>
      </c>
      <c r="D111" s="377">
        <f t="shared" si="6"/>
      </c>
      <c r="E111" s="377">
        <f t="shared" si="7"/>
      </c>
      <c r="F111" s="377">
        <f t="shared" si="8"/>
      </c>
      <c r="G111" s="77"/>
      <c r="H111" s="89"/>
      <c r="I111" s="77"/>
      <c r="J111" s="78"/>
      <c r="K111" s="78"/>
      <c r="L111" s="142"/>
      <c r="M111" s="140"/>
      <c r="N111" s="78"/>
      <c r="O111" s="78"/>
      <c r="P111" s="89"/>
      <c r="Q111" s="77"/>
      <c r="R111" s="78"/>
      <c r="S111" s="140"/>
      <c r="T111" s="78"/>
      <c r="U111" s="140"/>
      <c r="V111" s="149"/>
      <c r="W111" s="74"/>
      <c r="X111" s="75"/>
      <c r="Y111" s="75"/>
      <c r="Z111" s="76"/>
      <c r="AA111" s="85"/>
      <c r="AB111" s="86"/>
      <c r="AC111" s="86"/>
      <c r="AD111" s="87"/>
    </row>
    <row r="112" spans="1:30" ht="12.75">
      <c r="A112" s="62">
        <v>100</v>
      </c>
      <c r="B112" s="89" t="s">
        <v>163</v>
      </c>
      <c r="C112" s="307">
        <f>IF(MIN(D112:V112)=0,"  No Criteria",MIN(D112:V112))</f>
        <v>11000</v>
      </c>
      <c r="D112" s="377">
        <f t="shared" si="6"/>
        <v>11000</v>
      </c>
      <c r="E112" s="377">
        <f t="shared" si="7"/>
      </c>
      <c r="F112" s="377">
        <f t="shared" si="8"/>
      </c>
      <c r="G112" s="77"/>
      <c r="H112" s="89"/>
      <c r="I112" s="77"/>
      <c r="J112" s="78"/>
      <c r="K112" s="78"/>
      <c r="L112" s="142"/>
      <c r="M112" s="140"/>
      <c r="N112" s="78"/>
      <c r="O112" s="78"/>
      <c r="P112" s="89"/>
      <c r="Q112" s="77"/>
      <c r="R112" s="78"/>
      <c r="S112" s="140"/>
      <c r="T112" s="78"/>
      <c r="U112" s="140"/>
      <c r="V112" s="152">
        <v>11000</v>
      </c>
      <c r="W112" s="74"/>
      <c r="X112" s="75"/>
      <c r="Y112" s="75"/>
      <c r="Z112" s="76"/>
      <c r="AA112" s="85"/>
      <c r="AB112" s="86"/>
      <c r="AC112" s="86"/>
      <c r="AD112" s="87"/>
    </row>
    <row r="113" spans="1:30" ht="12.75">
      <c r="A113" s="62">
        <v>101</v>
      </c>
      <c r="B113" s="89" t="s">
        <v>164</v>
      </c>
      <c r="C113" s="308" t="str">
        <f>IF(MIN(D113:V113)=0,"No Criteria",MIN(D113:V113))</f>
        <v>No Criteria</v>
      </c>
      <c r="D113" s="377">
        <f t="shared" si="6"/>
      </c>
      <c r="E113" s="377">
        <f t="shared" si="7"/>
      </c>
      <c r="F113" s="377">
        <f t="shared" si="8"/>
      </c>
      <c r="G113" s="77"/>
      <c r="H113" s="89"/>
      <c r="I113" s="77"/>
      <c r="J113" s="78"/>
      <c r="K113" s="78"/>
      <c r="L113" s="142"/>
      <c r="M113" s="140"/>
      <c r="N113" s="78"/>
      <c r="O113" s="78"/>
      <c r="P113" s="89"/>
      <c r="Q113" s="77"/>
      <c r="R113" s="78"/>
      <c r="S113" s="140"/>
      <c r="T113" s="78"/>
      <c r="U113" s="140"/>
      <c r="V113" s="153"/>
      <c r="W113" s="74"/>
      <c r="X113" s="75"/>
      <c r="Y113" s="75"/>
      <c r="Z113" s="76"/>
      <c r="AA113" s="85"/>
      <c r="AB113" s="86"/>
      <c r="AC113" s="86"/>
      <c r="AD113" s="87"/>
    </row>
    <row r="114" spans="1:30" ht="12.75">
      <c r="A114" s="62">
        <v>102</v>
      </c>
      <c r="B114" s="89" t="s">
        <v>165</v>
      </c>
      <c r="C114" s="307">
        <f>IF(MIN(D114:V114)=0,"  No Criteria",MIN(D114:V114))</f>
        <v>0.00014</v>
      </c>
      <c r="D114" s="377">
        <f t="shared" si="6"/>
        <v>0.00014</v>
      </c>
      <c r="E114" s="377">
        <f t="shared" si="7"/>
      </c>
      <c r="F114" s="377">
        <f t="shared" si="8"/>
        <v>1.3</v>
      </c>
      <c r="G114" s="77"/>
      <c r="H114" s="89"/>
      <c r="I114" s="77"/>
      <c r="J114" s="78"/>
      <c r="K114" s="78"/>
      <c r="L114" s="142"/>
      <c r="M114" s="140"/>
      <c r="N114" s="78"/>
      <c r="O114" s="78"/>
      <c r="P114" s="89"/>
      <c r="Q114" s="111">
        <v>3</v>
      </c>
      <c r="R114" s="78"/>
      <c r="S114" s="93">
        <v>1.3</v>
      </c>
      <c r="T114" s="78"/>
      <c r="U114" s="140"/>
      <c r="V114" s="157">
        <v>0.00014</v>
      </c>
      <c r="W114" s="74"/>
      <c r="X114" s="75"/>
      <c r="Y114" s="75"/>
      <c r="Z114" s="76"/>
      <c r="AA114" s="85"/>
      <c r="AB114" s="86"/>
      <c r="AC114" s="86"/>
      <c r="AD114" s="87"/>
    </row>
    <row r="115" spans="1:30" ht="12.75">
      <c r="A115" s="62">
        <v>103</v>
      </c>
      <c r="B115" s="89" t="s">
        <v>166</v>
      </c>
      <c r="C115" s="307">
        <f>IF(MIN(D115:V115)=0,"  No Criteria",MIN(D115:V115))</f>
        <v>0.013</v>
      </c>
      <c r="D115" s="377">
        <f t="shared" si="6"/>
        <v>0.013</v>
      </c>
      <c r="E115" s="377">
        <f t="shared" si="7"/>
      </c>
      <c r="F115" s="377">
        <f t="shared" si="8"/>
      </c>
      <c r="G115" s="77"/>
      <c r="H115" s="89"/>
      <c r="I115" s="77"/>
      <c r="J115" s="78"/>
      <c r="K115" s="78"/>
      <c r="L115" s="142"/>
      <c r="M115" s="140"/>
      <c r="N115" s="78"/>
      <c r="O115" s="78"/>
      <c r="P115" s="89"/>
      <c r="Q115" s="77"/>
      <c r="R115" s="78"/>
      <c r="S115" s="140"/>
      <c r="T115" s="78"/>
      <c r="U115" s="140"/>
      <c r="V115" s="163">
        <v>0.013</v>
      </c>
      <c r="W115" s="74"/>
      <c r="X115" s="75"/>
      <c r="Y115" s="75"/>
      <c r="Z115" s="76"/>
      <c r="AA115" s="85"/>
      <c r="AB115" s="86"/>
      <c r="AC115" s="86"/>
      <c r="AD115" s="87"/>
    </row>
    <row r="116" spans="1:30" ht="12.75">
      <c r="A116" s="62">
        <v>104</v>
      </c>
      <c r="B116" s="89" t="s">
        <v>167</v>
      </c>
      <c r="C116" s="307">
        <f>IF(MIN(D116:V116)=0,"  No Criteria",MIN(D116:V116))</f>
        <v>0.046</v>
      </c>
      <c r="D116" s="377">
        <f t="shared" si="6"/>
        <v>0.046</v>
      </c>
      <c r="E116" s="377">
        <f t="shared" si="7"/>
      </c>
      <c r="F116" s="377">
        <f t="shared" si="8"/>
      </c>
      <c r="G116" s="77"/>
      <c r="H116" s="89"/>
      <c r="I116" s="77"/>
      <c r="J116" s="78"/>
      <c r="K116" s="78"/>
      <c r="L116" s="142"/>
      <c r="M116" s="140"/>
      <c r="N116" s="78"/>
      <c r="O116" s="78"/>
      <c r="P116" s="89"/>
      <c r="Q116" s="77"/>
      <c r="R116" s="78"/>
      <c r="S116" s="140"/>
      <c r="T116" s="78"/>
      <c r="U116" s="140"/>
      <c r="V116" s="163">
        <v>0.046</v>
      </c>
      <c r="W116" s="74"/>
      <c r="X116" s="75"/>
      <c r="Y116" s="75"/>
      <c r="Z116" s="76"/>
      <c r="AA116" s="85"/>
      <c r="AB116" s="86"/>
      <c r="AC116" s="86"/>
      <c r="AD116" s="87"/>
    </row>
    <row r="117" spans="1:30" ht="12.75">
      <c r="A117" s="62">
        <v>105</v>
      </c>
      <c r="B117" s="89" t="s">
        <v>168</v>
      </c>
      <c r="C117" s="307">
        <f>IF(MIN(D117:V117)=0,"  No Criteria",MIN(D117:V117))</f>
        <v>0.063</v>
      </c>
      <c r="D117" s="377">
        <f t="shared" si="6"/>
        <v>0.063</v>
      </c>
      <c r="E117" s="377">
        <f t="shared" si="7"/>
      </c>
      <c r="F117" s="377">
        <f t="shared" si="8"/>
        <v>0.16</v>
      </c>
      <c r="G117" s="77"/>
      <c r="H117" s="89"/>
      <c r="I117" s="77"/>
      <c r="J117" s="78"/>
      <c r="K117" s="78"/>
      <c r="L117" s="142"/>
      <c r="M117" s="140"/>
      <c r="N117" s="78"/>
      <c r="O117" s="78"/>
      <c r="P117" s="89"/>
      <c r="Q117" s="172">
        <v>0.95</v>
      </c>
      <c r="R117" s="173"/>
      <c r="S117" s="156">
        <v>0.16</v>
      </c>
      <c r="T117" s="78"/>
      <c r="U117" s="140"/>
      <c r="V117" s="163">
        <v>0.063</v>
      </c>
      <c r="W117" s="74"/>
      <c r="X117" s="75"/>
      <c r="Y117" s="75"/>
      <c r="Z117" s="76"/>
      <c r="AA117" s="85"/>
      <c r="AB117" s="86"/>
      <c r="AC117" s="86"/>
      <c r="AD117" s="87"/>
    </row>
    <row r="118" spans="1:30" ht="12.75">
      <c r="A118" s="62">
        <v>106</v>
      </c>
      <c r="B118" s="89" t="s">
        <v>169</v>
      </c>
      <c r="C118" s="308" t="str">
        <f>IF(MIN(D118:V118)=0,"No Criteria",MIN(D118:V118))</f>
        <v>No Criteria</v>
      </c>
      <c r="D118" s="377">
        <f t="shared" si="6"/>
      </c>
      <c r="E118" s="377">
        <f t="shared" si="7"/>
      </c>
      <c r="F118" s="377">
        <f t="shared" si="8"/>
      </c>
      <c r="G118" s="77"/>
      <c r="H118" s="89"/>
      <c r="I118" s="77"/>
      <c r="J118" s="78"/>
      <c r="K118" s="78"/>
      <c r="L118" s="142"/>
      <c r="M118" s="140"/>
      <c r="N118" s="78"/>
      <c r="O118" s="78"/>
      <c r="P118" s="89"/>
      <c r="Q118" s="77"/>
      <c r="R118" s="78"/>
      <c r="S118" s="140"/>
      <c r="T118" s="78"/>
      <c r="U118" s="140"/>
      <c r="V118" s="153"/>
      <c r="W118" s="74"/>
      <c r="X118" s="75"/>
      <c r="Y118" s="75"/>
      <c r="Z118" s="76"/>
      <c r="AA118" s="85"/>
      <c r="AB118" s="86"/>
      <c r="AC118" s="86"/>
      <c r="AD118" s="87"/>
    </row>
    <row r="119" spans="1:30" ht="12.75">
      <c r="A119" s="62">
        <v>107</v>
      </c>
      <c r="B119" s="89" t="s">
        <v>170</v>
      </c>
      <c r="C119" s="307">
        <f aca="true" t="shared" si="11" ref="C119:C134">IF(MIN(D119:V119)=0,"  No Criteria",MIN(D119:V119))</f>
        <v>0.00059</v>
      </c>
      <c r="D119" s="377">
        <f t="shared" si="6"/>
        <v>0.00059</v>
      </c>
      <c r="E119" s="377">
        <f t="shared" si="7"/>
        <v>0.004</v>
      </c>
      <c r="F119" s="377">
        <f t="shared" si="8"/>
        <v>0.09</v>
      </c>
      <c r="G119" s="117"/>
      <c r="H119" s="89"/>
      <c r="I119" s="77"/>
      <c r="J119" s="78"/>
      <c r="K119" s="78"/>
      <c r="L119" s="142"/>
      <c r="M119" s="140"/>
      <c r="N119" s="78"/>
      <c r="O119" s="78"/>
      <c r="P119" s="89"/>
      <c r="Q119" s="102">
        <v>2.4</v>
      </c>
      <c r="R119" s="78">
        <v>0.0043</v>
      </c>
      <c r="S119" s="156">
        <v>0.09</v>
      </c>
      <c r="T119" s="101">
        <v>0.004</v>
      </c>
      <c r="U119" s="174"/>
      <c r="V119" s="157">
        <v>0.00059</v>
      </c>
      <c r="W119" s="74"/>
      <c r="X119" s="75"/>
      <c r="Y119" s="75"/>
      <c r="Z119" s="76"/>
      <c r="AA119" s="85"/>
      <c r="AB119" s="86"/>
      <c r="AC119" s="86"/>
      <c r="AD119" s="87"/>
    </row>
    <row r="120" spans="1:30" ht="12.75">
      <c r="A120" s="62">
        <v>108</v>
      </c>
      <c r="B120" s="89" t="s">
        <v>171</v>
      </c>
      <c r="C120" s="307">
        <f t="shared" si="11"/>
        <v>0.00059</v>
      </c>
      <c r="D120" s="377">
        <f t="shared" si="6"/>
        <v>0.00059</v>
      </c>
      <c r="E120" s="377">
        <f t="shared" si="7"/>
        <v>0.001</v>
      </c>
      <c r="F120" s="377">
        <f t="shared" si="8"/>
        <v>0.13</v>
      </c>
      <c r="G120" s="117"/>
      <c r="H120" s="89"/>
      <c r="I120" s="77"/>
      <c r="J120" s="78"/>
      <c r="K120" s="78"/>
      <c r="L120" s="142"/>
      <c r="M120" s="140"/>
      <c r="N120" s="78"/>
      <c r="O120" s="78"/>
      <c r="P120" s="89"/>
      <c r="Q120" s="102">
        <v>1.1</v>
      </c>
      <c r="R120" s="101">
        <v>0.001</v>
      </c>
      <c r="S120" s="156">
        <v>0.13</v>
      </c>
      <c r="T120" s="101">
        <v>0.001</v>
      </c>
      <c r="U120" s="174"/>
      <c r="V120" s="157">
        <v>0.00059</v>
      </c>
      <c r="W120" s="74"/>
      <c r="X120" s="75"/>
      <c r="Y120" s="75"/>
      <c r="Z120" s="76"/>
      <c r="AA120" s="85"/>
      <c r="AB120" s="86"/>
      <c r="AC120" s="86"/>
      <c r="AD120" s="87"/>
    </row>
    <row r="121" spans="1:30" ht="12.75">
      <c r="A121" s="62">
        <v>109</v>
      </c>
      <c r="B121" s="89" t="s">
        <v>172</v>
      </c>
      <c r="C121" s="307">
        <f t="shared" si="11"/>
        <v>0.00059</v>
      </c>
      <c r="D121" s="377">
        <f t="shared" si="6"/>
        <v>0.00059</v>
      </c>
      <c r="E121" s="377">
        <f t="shared" si="7"/>
      </c>
      <c r="F121" s="377">
        <f t="shared" si="8"/>
      </c>
      <c r="G121" s="77"/>
      <c r="H121" s="89"/>
      <c r="I121" s="77"/>
      <c r="J121" s="78"/>
      <c r="K121" s="78"/>
      <c r="L121" s="142"/>
      <c r="M121" s="140"/>
      <c r="N121" s="78"/>
      <c r="O121" s="78"/>
      <c r="P121" s="89"/>
      <c r="Q121" s="77"/>
      <c r="R121" s="78"/>
      <c r="S121" s="140"/>
      <c r="T121" s="78"/>
      <c r="U121" s="174"/>
      <c r="V121" s="157">
        <v>0.00059</v>
      </c>
      <c r="W121" s="74"/>
      <c r="X121" s="75"/>
      <c r="Y121" s="75"/>
      <c r="Z121" s="76"/>
      <c r="AA121" s="85"/>
      <c r="AB121" s="86"/>
      <c r="AC121" s="86"/>
      <c r="AD121" s="87"/>
    </row>
    <row r="122" spans="1:30" ht="12.75">
      <c r="A122" s="62">
        <v>110</v>
      </c>
      <c r="B122" s="89" t="s">
        <v>173</v>
      </c>
      <c r="C122" s="307">
        <f t="shared" si="11"/>
        <v>0.00084</v>
      </c>
      <c r="D122" s="377">
        <f t="shared" si="6"/>
        <v>0.00084</v>
      </c>
      <c r="E122" s="377">
        <f t="shared" si="7"/>
      </c>
      <c r="F122" s="377">
        <f>IF(SUM(J122,L122,N122,P122,Q122,S122)=0,"",MIN(J122,L122,N122,P122,Q122,S122))</f>
      </c>
      <c r="G122" s="77"/>
      <c r="H122" s="89"/>
      <c r="I122" s="77"/>
      <c r="J122" s="78"/>
      <c r="K122" s="78"/>
      <c r="L122" s="142"/>
      <c r="M122" s="140"/>
      <c r="N122" s="78"/>
      <c r="O122" s="78"/>
      <c r="P122" s="89"/>
      <c r="Q122" s="77"/>
      <c r="R122" s="78"/>
      <c r="S122" s="140"/>
      <c r="T122" s="78"/>
      <c r="U122" s="174"/>
      <c r="V122" s="157">
        <v>0.00084</v>
      </c>
      <c r="W122" s="74"/>
      <c r="X122" s="75"/>
      <c r="Y122" s="75"/>
      <c r="Z122" s="76"/>
      <c r="AA122" s="85"/>
      <c r="AB122" s="86"/>
      <c r="AC122" s="86"/>
      <c r="AD122" s="87"/>
    </row>
    <row r="123" spans="1:30" ht="12.75">
      <c r="A123" s="62">
        <v>111</v>
      </c>
      <c r="B123" s="89" t="s">
        <v>174</v>
      </c>
      <c r="C123" s="307">
        <f t="shared" si="11"/>
        <v>0.00014</v>
      </c>
      <c r="D123" s="377">
        <f t="shared" si="6"/>
        <v>0.00014</v>
      </c>
      <c r="E123" s="377">
        <f t="shared" si="7"/>
        <v>0.0019</v>
      </c>
      <c r="F123" s="377">
        <f t="shared" si="8"/>
        <v>0.24</v>
      </c>
      <c r="G123" s="117"/>
      <c r="H123" s="89"/>
      <c r="I123" s="77"/>
      <c r="J123" s="78"/>
      <c r="K123" s="78"/>
      <c r="L123" s="142"/>
      <c r="M123" s="140"/>
      <c r="N123" s="78"/>
      <c r="O123" s="78"/>
      <c r="P123" s="89"/>
      <c r="Q123" s="172">
        <v>0.24</v>
      </c>
      <c r="R123" s="101">
        <v>0.056</v>
      </c>
      <c r="S123" s="156">
        <v>0.71</v>
      </c>
      <c r="T123" s="78">
        <v>0.0019</v>
      </c>
      <c r="U123" s="174"/>
      <c r="V123" s="157">
        <v>0.00014</v>
      </c>
      <c r="W123" s="74"/>
      <c r="X123" s="75"/>
      <c r="Y123" s="75"/>
      <c r="Z123" s="76"/>
      <c r="AA123" s="85"/>
      <c r="AB123" s="86"/>
      <c r="AC123" s="86"/>
      <c r="AD123" s="87"/>
    </row>
    <row r="124" spans="1:30" ht="12.75">
      <c r="A124" s="62">
        <v>112</v>
      </c>
      <c r="B124" s="89" t="s">
        <v>175</v>
      </c>
      <c r="C124" s="307">
        <f t="shared" si="11"/>
        <v>0.0087</v>
      </c>
      <c r="D124" s="377">
        <f t="shared" si="6"/>
        <v>240</v>
      </c>
      <c r="E124" s="377">
        <f t="shared" si="7"/>
        <v>0.0087</v>
      </c>
      <c r="F124" s="377">
        <f t="shared" si="8"/>
        <v>0.034</v>
      </c>
      <c r="G124" s="77"/>
      <c r="H124" s="89"/>
      <c r="I124" s="77"/>
      <c r="J124" s="78"/>
      <c r="K124" s="78"/>
      <c r="L124" s="142"/>
      <c r="M124" s="140"/>
      <c r="N124" s="78"/>
      <c r="O124" s="78"/>
      <c r="P124" s="89"/>
      <c r="Q124" s="172">
        <v>0.22</v>
      </c>
      <c r="R124" s="101">
        <v>0.056</v>
      </c>
      <c r="S124" s="131">
        <v>0.034</v>
      </c>
      <c r="T124" s="78">
        <v>0.0087</v>
      </c>
      <c r="U124" s="140"/>
      <c r="V124" s="149">
        <v>240</v>
      </c>
      <c r="W124" s="74"/>
      <c r="X124" s="75"/>
      <c r="Y124" s="75"/>
      <c r="Z124" s="76"/>
      <c r="AA124" s="85"/>
      <c r="AB124" s="86"/>
      <c r="AC124" s="86"/>
      <c r="AD124" s="87"/>
    </row>
    <row r="125" spans="1:30" ht="12.75">
      <c r="A125" s="62">
        <v>113</v>
      </c>
      <c r="B125" s="89" t="s">
        <v>176</v>
      </c>
      <c r="C125" s="307">
        <f t="shared" si="11"/>
        <v>0.0087</v>
      </c>
      <c r="D125" s="377">
        <f t="shared" si="6"/>
        <v>240</v>
      </c>
      <c r="E125" s="377">
        <f t="shared" si="7"/>
        <v>0.0087</v>
      </c>
      <c r="F125" s="377">
        <f t="shared" si="8"/>
        <v>0.034</v>
      </c>
      <c r="G125" s="77"/>
      <c r="H125" s="89"/>
      <c r="I125" s="77"/>
      <c r="J125" s="78"/>
      <c r="K125" s="78"/>
      <c r="L125" s="142"/>
      <c r="M125" s="140"/>
      <c r="N125" s="78"/>
      <c r="O125" s="78"/>
      <c r="P125" s="89"/>
      <c r="Q125" s="172">
        <v>0.22</v>
      </c>
      <c r="R125" s="101">
        <v>0.056</v>
      </c>
      <c r="S125" s="131">
        <v>0.034</v>
      </c>
      <c r="T125" s="78">
        <v>0.0087</v>
      </c>
      <c r="U125" s="140"/>
      <c r="V125" s="149">
        <v>240</v>
      </c>
      <c r="W125" s="74"/>
      <c r="X125" s="75"/>
      <c r="Y125" s="75"/>
      <c r="Z125" s="76"/>
      <c r="AA125" s="85"/>
      <c r="AB125" s="86"/>
      <c r="AC125" s="86"/>
      <c r="AD125" s="87"/>
    </row>
    <row r="126" spans="1:30" ht="12.75">
      <c r="A126" s="62">
        <v>114</v>
      </c>
      <c r="B126" s="89" t="s">
        <v>177</v>
      </c>
      <c r="C126" s="307">
        <f t="shared" si="11"/>
        <v>240</v>
      </c>
      <c r="D126" s="377">
        <f t="shared" si="6"/>
        <v>240</v>
      </c>
      <c r="E126" s="377">
        <f t="shared" si="7"/>
      </c>
      <c r="F126" s="377">
        <f t="shared" si="8"/>
      </c>
      <c r="G126" s="77"/>
      <c r="H126" s="89"/>
      <c r="I126" s="77"/>
      <c r="J126" s="78"/>
      <c r="K126" s="78"/>
      <c r="L126" s="142"/>
      <c r="M126" s="140"/>
      <c r="N126" s="78"/>
      <c r="O126" s="78"/>
      <c r="P126" s="89"/>
      <c r="Q126" s="77"/>
      <c r="R126" s="78"/>
      <c r="S126" s="140"/>
      <c r="T126" s="78"/>
      <c r="U126" s="140"/>
      <c r="V126" s="149">
        <v>240</v>
      </c>
      <c r="W126" s="74"/>
      <c r="X126" s="75"/>
      <c r="Y126" s="75"/>
      <c r="Z126" s="76"/>
      <c r="AA126" s="85"/>
      <c r="AB126" s="86"/>
      <c r="AC126" s="86"/>
      <c r="AD126" s="87"/>
    </row>
    <row r="127" spans="1:30" ht="12.75">
      <c r="A127" s="62">
        <v>115</v>
      </c>
      <c r="B127" s="89" t="s">
        <v>178</v>
      </c>
      <c r="C127" s="307">
        <f t="shared" si="11"/>
        <v>0.0023</v>
      </c>
      <c r="D127" s="377">
        <f t="shared" si="6"/>
        <v>0.81</v>
      </c>
      <c r="E127" s="377">
        <f t="shared" si="7"/>
        <v>0.0023</v>
      </c>
      <c r="F127" s="377">
        <f t="shared" si="8"/>
        <v>0.037</v>
      </c>
      <c r="G127" s="77"/>
      <c r="H127" s="89"/>
      <c r="I127" s="77"/>
      <c r="J127" s="78"/>
      <c r="K127" s="78"/>
      <c r="L127" s="142"/>
      <c r="M127" s="140"/>
      <c r="N127" s="78"/>
      <c r="O127" s="78"/>
      <c r="P127" s="89"/>
      <c r="Q127" s="98">
        <v>0.086</v>
      </c>
      <c r="R127" s="101">
        <v>0.036</v>
      </c>
      <c r="S127" s="131">
        <v>0.037</v>
      </c>
      <c r="T127" s="78">
        <v>0.0023</v>
      </c>
      <c r="U127" s="140"/>
      <c r="V127" s="150">
        <v>0.81</v>
      </c>
      <c r="W127" s="74"/>
      <c r="X127" s="75"/>
      <c r="Y127" s="75"/>
      <c r="Z127" s="76"/>
      <c r="AA127" s="85"/>
      <c r="AB127" s="86"/>
      <c r="AC127" s="86"/>
      <c r="AD127" s="87"/>
    </row>
    <row r="128" spans="1:30" ht="12.75">
      <c r="A128" s="62">
        <v>116</v>
      </c>
      <c r="B128" s="89" t="s">
        <v>179</v>
      </c>
      <c r="C128" s="307">
        <f t="shared" si="11"/>
        <v>0.81</v>
      </c>
      <c r="D128" s="377">
        <f t="shared" si="6"/>
        <v>0.81</v>
      </c>
      <c r="E128" s="377">
        <f t="shared" si="7"/>
      </c>
      <c r="F128" s="377">
        <f t="shared" si="8"/>
      </c>
      <c r="G128" s="77"/>
      <c r="H128" s="89"/>
      <c r="I128" s="77"/>
      <c r="J128" s="78"/>
      <c r="K128" s="78"/>
      <c r="L128" s="142"/>
      <c r="M128" s="140"/>
      <c r="N128" s="78"/>
      <c r="O128" s="78"/>
      <c r="P128" s="89"/>
      <c r="Q128" s="77"/>
      <c r="R128" s="78"/>
      <c r="S128" s="140"/>
      <c r="T128" s="78"/>
      <c r="U128" s="140"/>
      <c r="V128" s="150">
        <v>0.81</v>
      </c>
      <c r="W128" s="74"/>
      <c r="X128" s="75"/>
      <c r="Y128" s="75"/>
      <c r="Z128" s="76"/>
      <c r="AA128" s="85"/>
      <c r="AB128" s="86"/>
      <c r="AC128" s="86"/>
      <c r="AD128" s="87"/>
    </row>
    <row r="129" spans="1:30" ht="12.75">
      <c r="A129" s="62">
        <v>117</v>
      </c>
      <c r="B129" s="89" t="s">
        <v>180</v>
      </c>
      <c r="C129" s="307">
        <f t="shared" si="11"/>
        <v>0.00021</v>
      </c>
      <c r="D129" s="377">
        <f t="shared" si="6"/>
        <v>0.00021</v>
      </c>
      <c r="E129" s="377">
        <f t="shared" si="7"/>
        <v>0.0036</v>
      </c>
      <c r="F129" s="377">
        <f t="shared" si="8"/>
        <v>0.053</v>
      </c>
      <c r="G129" s="77"/>
      <c r="H129" s="89"/>
      <c r="I129" s="77"/>
      <c r="J129" s="78"/>
      <c r="K129" s="78"/>
      <c r="L129" s="142"/>
      <c r="M129" s="140"/>
      <c r="N129" s="78"/>
      <c r="O129" s="78"/>
      <c r="P129" s="89"/>
      <c r="Q129" s="172">
        <v>0.52</v>
      </c>
      <c r="R129" s="78">
        <v>0.0038</v>
      </c>
      <c r="S129" s="131">
        <v>0.053</v>
      </c>
      <c r="T129" s="78">
        <v>0.0036</v>
      </c>
      <c r="U129" s="140"/>
      <c r="V129" s="157">
        <v>0.00021</v>
      </c>
      <c r="W129" s="74"/>
      <c r="X129" s="75"/>
      <c r="Y129" s="75"/>
      <c r="Z129" s="76"/>
      <c r="AA129" s="85"/>
      <c r="AB129" s="86"/>
      <c r="AC129" s="86"/>
      <c r="AD129" s="87"/>
    </row>
    <row r="130" spans="1:30" ht="12.75">
      <c r="A130" s="62">
        <v>118</v>
      </c>
      <c r="B130" s="89" t="s">
        <v>181</v>
      </c>
      <c r="C130" s="307">
        <f t="shared" si="11"/>
        <v>0.00011</v>
      </c>
      <c r="D130" s="377">
        <f t="shared" si="6"/>
        <v>0.00011</v>
      </c>
      <c r="E130" s="377">
        <f t="shared" si="7"/>
        <v>0.0036</v>
      </c>
      <c r="F130" s="377">
        <f t="shared" si="8"/>
        <v>0.053</v>
      </c>
      <c r="G130" s="77"/>
      <c r="H130" s="89"/>
      <c r="I130" s="77"/>
      <c r="J130" s="78"/>
      <c r="K130" s="78"/>
      <c r="L130" s="142"/>
      <c r="M130" s="140"/>
      <c r="N130" s="78"/>
      <c r="O130" s="78"/>
      <c r="P130" s="89"/>
      <c r="Q130" s="172">
        <v>0.52</v>
      </c>
      <c r="R130" s="78">
        <v>0.0038</v>
      </c>
      <c r="S130" s="131">
        <v>0.053</v>
      </c>
      <c r="T130" s="78">
        <v>0.0036</v>
      </c>
      <c r="U130" s="174"/>
      <c r="V130" s="157">
        <v>0.00011</v>
      </c>
      <c r="W130" s="74"/>
      <c r="X130" s="75"/>
      <c r="Y130" s="75"/>
      <c r="Z130" s="76"/>
      <c r="AA130" s="85"/>
      <c r="AB130" s="86"/>
      <c r="AC130" s="86"/>
      <c r="AD130" s="87"/>
    </row>
    <row r="131" spans="1:30" ht="12.75">
      <c r="A131" s="62" t="s">
        <v>182</v>
      </c>
      <c r="B131" s="89" t="s">
        <v>251</v>
      </c>
      <c r="C131" s="307">
        <f t="shared" si="11"/>
        <v>0.00017</v>
      </c>
      <c r="D131" s="377">
        <f t="shared" si="6"/>
        <v>0.00017</v>
      </c>
      <c r="E131" s="377">
        <f t="shared" si="7"/>
        <v>0.014</v>
      </c>
      <c r="F131" s="377">
        <f t="shared" si="8"/>
      </c>
      <c r="G131" s="117"/>
      <c r="H131" s="89"/>
      <c r="I131" s="77"/>
      <c r="J131" s="78"/>
      <c r="K131" s="78"/>
      <c r="L131" s="142"/>
      <c r="M131" s="140"/>
      <c r="N131" s="78"/>
      <c r="O131" s="78"/>
      <c r="P131" s="89"/>
      <c r="Q131" s="172"/>
      <c r="R131" s="101">
        <v>0.014</v>
      </c>
      <c r="S131" s="140"/>
      <c r="T131" s="173">
        <v>0.03</v>
      </c>
      <c r="U131" s="174"/>
      <c r="V131" s="157">
        <v>0.00017</v>
      </c>
      <c r="W131" s="74"/>
      <c r="X131" s="75"/>
      <c r="Y131" s="75"/>
      <c r="Z131" s="76"/>
      <c r="AA131" s="85"/>
      <c r="AB131" s="86"/>
      <c r="AC131" s="86"/>
      <c r="AD131" s="87"/>
    </row>
    <row r="132" spans="1:30" ht="12.75">
      <c r="A132" s="62">
        <v>126</v>
      </c>
      <c r="B132" s="89" t="s">
        <v>20</v>
      </c>
      <c r="C132" s="307">
        <f t="shared" si="11"/>
        <v>0.0002</v>
      </c>
      <c r="D132" s="377">
        <f t="shared" si="6"/>
        <v>0.00075</v>
      </c>
      <c r="E132" s="377">
        <f t="shared" si="7"/>
        <v>0.0002</v>
      </c>
      <c r="F132" s="377">
        <f t="shared" si="8"/>
        <v>0.21</v>
      </c>
      <c r="G132" s="77"/>
      <c r="H132" s="89"/>
      <c r="I132" s="77"/>
      <c r="J132" s="78"/>
      <c r="K132" s="78"/>
      <c r="L132" s="142"/>
      <c r="M132" s="140"/>
      <c r="N132" s="78"/>
      <c r="O132" s="78"/>
      <c r="P132" s="89"/>
      <c r="Q132" s="172">
        <v>0.73</v>
      </c>
      <c r="R132" s="78">
        <v>0.0002</v>
      </c>
      <c r="S132" s="156">
        <v>0.21</v>
      </c>
      <c r="T132" s="78">
        <v>0.0002</v>
      </c>
      <c r="U132" s="140"/>
      <c r="V132" s="157">
        <v>0.00075</v>
      </c>
      <c r="W132" s="74"/>
      <c r="X132" s="75"/>
      <c r="Y132" s="75"/>
      <c r="Z132" s="76"/>
      <c r="AA132" s="85"/>
      <c r="AB132" s="86"/>
      <c r="AC132" s="86"/>
      <c r="AD132" s="87"/>
    </row>
    <row r="133" spans="1:30" ht="12.75">
      <c r="A133" s="292"/>
      <c r="B133" s="89" t="s">
        <v>21</v>
      </c>
      <c r="C133" s="307">
        <f t="shared" si="11"/>
        <v>0.01</v>
      </c>
      <c r="D133" s="377">
        <f t="shared" si="6"/>
      </c>
      <c r="E133" s="377">
        <f t="shared" si="7"/>
        <v>0.01</v>
      </c>
      <c r="F133" s="377">
        <f t="shared" si="8"/>
      </c>
      <c r="G133" s="77"/>
      <c r="H133" s="89"/>
      <c r="I133" s="77"/>
      <c r="J133" s="78"/>
      <c r="K133" s="78"/>
      <c r="L133" s="142"/>
      <c r="M133" s="131">
        <v>0.01</v>
      </c>
      <c r="N133" s="78"/>
      <c r="O133" s="78"/>
      <c r="P133" s="89"/>
      <c r="Q133" s="77"/>
      <c r="R133" s="78"/>
      <c r="S133" s="140"/>
      <c r="T133" s="78"/>
      <c r="U133" s="153"/>
      <c r="V133" s="153"/>
      <c r="W133" s="74"/>
      <c r="X133" s="75"/>
      <c r="Y133" s="75"/>
      <c r="Z133" s="76"/>
      <c r="AA133" s="85"/>
      <c r="AB133" s="86"/>
      <c r="AC133" s="86"/>
      <c r="AD133" s="87"/>
    </row>
    <row r="134" spans="1:30" ht="13.5" thickBot="1">
      <c r="A134" s="279"/>
      <c r="B134" s="280" t="s">
        <v>269</v>
      </c>
      <c r="C134" s="309">
        <f t="shared" si="11"/>
        <v>15</v>
      </c>
      <c r="D134" s="377">
        <f t="shared" si="6"/>
      </c>
      <c r="E134" s="377">
        <f t="shared" si="7"/>
        <v>15</v>
      </c>
      <c r="F134" s="377">
        <f t="shared" si="8"/>
      </c>
      <c r="G134" s="281"/>
      <c r="H134" s="280"/>
      <c r="I134" s="281"/>
      <c r="J134" s="282"/>
      <c r="K134" s="282"/>
      <c r="L134" s="283"/>
      <c r="M134" s="284"/>
      <c r="N134" s="282"/>
      <c r="O134" s="282">
        <v>15</v>
      </c>
      <c r="P134" s="280"/>
      <c r="Q134" s="281"/>
      <c r="R134" s="282"/>
      <c r="S134" s="285"/>
      <c r="T134" s="282"/>
      <c r="U134" s="175"/>
      <c r="V134" s="175"/>
      <c r="W134" s="286"/>
      <c r="X134" s="287"/>
      <c r="Y134" s="287"/>
      <c r="Z134" s="288"/>
      <c r="AA134" s="289"/>
      <c r="AB134" s="290"/>
      <c r="AC134" s="290"/>
      <c r="AD134" s="291"/>
    </row>
    <row r="135" spans="1:22" ht="12.75">
      <c r="A135" s="176"/>
      <c r="B135" s="177"/>
      <c r="C135" s="310"/>
      <c r="D135" s="379"/>
      <c r="E135" s="379"/>
      <c r="F135" s="379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</row>
    <row r="136" spans="1:22" ht="12.75">
      <c r="A136" s="179" t="s">
        <v>22</v>
      </c>
      <c r="B136" s="178"/>
      <c r="C136" s="310"/>
      <c r="D136" s="379"/>
      <c r="E136" s="379"/>
      <c r="F136" s="379"/>
      <c r="G136" s="178"/>
      <c r="H136" s="178"/>
      <c r="I136" s="178"/>
      <c r="J136" s="178"/>
      <c r="K136" s="178"/>
      <c r="L136" s="178"/>
      <c r="M136" s="178"/>
      <c r="N136" s="170"/>
      <c r="O136" s="170"/>
      <c r="P136" s="170"/>
      <c r="Q136" s="170"/>
      <c r="R136" s="170"/>
      <c r="S136" s="170"/>
      <c r="T136" s="170"/>
      <c r="U136" s="170"/>
      <c r="V136" s="170"/>
    </row>
    <row r="137" spans="1:22" ht="12.75">
      <c r="A137" s="180"/>
      <c r="B137" s="181"/>
      <c r="C137" s="311"/>
      <c r="D137" s="379"/>
      <c r="E137" s="379"/>
      <c r="F137" s="379"/>
      <c r="G137" s="182"/>
      <c r="H137" s="178"/>
      <c r="I137" s="178"/>
      <c r="J137" s="178"/>
      <c r="K137" s="178"/>
      <c r="L137" s="178"/>
      <c r="M137" s="178"/>
      <c r="N137" s="170"/>
      <c r="O137" s="170"/>
      <c r="P137" s="170"/>
      <c r="Q137" s="170"/>
      <c r="R137" s="170"/>
      <c r="S137" s="170"/>
      <c r="T137" s="170"/>
      <c r="U137" s="170"/>
      <c r="V137" s="170"/>
    </row>
    <row r="138" spans="1:22" ht="12.75">
      <c r="A138" s="179"/>
      <c r="B138" s="178"/>
      <c r="C138" s="310"/>
      <c r="D138" s="379"/>
      <c r="E138" s="379"/>
      <c r="F138" s="379"/>
      <c r="G138" s="178"/>
      <c r="H138" s="178"/>
      <c r="I138" s="178"/>
      <c r="J138" s="178"/>
      <c r="K138" s="178"/>
      <c r="L138" s="178"/>
      <c r="M138" s="178"/>
      <c r="N138" s="170"/>
      <c r="O138" s="170"/>
      <c r="P138" s="170"/>
      <c r="Q138" s="170"/>
      <c r="R138" s="170"/>
      <c r="S138" s="170"/>
      <c r="T138" s="170"/>
      <c r="U138" s="170"/>
      <c r="V138" s="170"/>
    </row>
    <row r="139" spans="1:22" ht="12.75">
      <c r="A139" s="183" t="s">
        <v>23</v>
      </c>
      <c r="B139" s="182" t="s">
        <v>24</v>
      </c>
      <c r="C139" s="311"/>
      <c r="D139" s="380"/>
      <c r="E139" s="380"/>
      <c r="F139" s="380"/>
      <c r="G139" s="182"/>
      <c r="H139" s="184"/>
      <c r="I139" s="184"/>
      <c r="J139" s="178"/>
      <c r="K139" s="178"/>
      <c r="L139" s="178"/>
      <c r="M139" s="178"/>
      <c r="N139" s="170"/>
      <c r="O139" s="170"/>
      <c r="P139" s="170"/>
      <c r="Q139" s="170"/>
      <c r="R139" s="170"/>
      <c r="S139" s="170"/>
      <c r="T139" s="170"/>
      <c r="U139" s="170"/>
      <c r="V139" s="170"/>
    </row>
    <row r="140" ht="12.75">
      <c r="C140" s="312"/>
    </row>
    <row r="141" spans="2:7" ht="12.75">
      <c r="B141" s="185"/>
      <c r="C141" s="313"/>
      <c r="G141" s="185"/>
    </row>
    <row r="142" ht="12.75">
      <c r="C142" s="312"/>
    </row>
    <row r="143" ht="12.75">
      <c r="C143" s="312"/>
    </row>
    <row r="144" ht="12.75">
      <c r="C144" s="312"/>
    </row>
    <row r="145" ht="12.75">
      <c r="C145" s="312"/>
    </row>
    <row r="146" ht="12.75">
      <c r="C146" s="312"/>
    </row>
    <row r="147" ht="12.75">
      <c r="C147" s="312"/>
    </row>
    <row r="148" ht="12.75">
      <c r="C148" s="312"/>
    </row>
    <row r="149" ht="12.75">
      <c r="C149" s="312"/>
    </row>
    <row r="150" ht="12.75">
      <c r="C150" s="312"/>
    </row>
    <row r="151" ht="12.75">
      <c r="C151" s="312"/>
    </row>
    <row r="152" ht="12.75">
      <c r="C152" s="312"/>
    </row>
    <row r="153" ht="12.75">
      <c r="C153" s="312"/>
    </row>
    <row r="154" ht="12.75">
      <c r="C154" s="312"/>
    </row>
    <row r="155" ht="12.75">
      <c r="C155" s="312"/>
    </row>
    <row r="156" ht="12.75">
      <c r="C156" s="312"/>
    </row>
    <row r="157" ht="12.75">
      <c r="C157" s="312"/>
    </row>
    <row r="158" ht="12.75">
      <c r="C158" s="312"/>
    </row>
    <row r="159" ht="12.75">
      <c r="C159" s="312"/>
    </row>
    <row r="160" ht="12.75">
      <c r="C160" s="312"/>
    </row>
    <row r="161" ht="12.75">
      <c r="C161" s="312"/>
    </row>
    <row r="162" ht="12.75">
      <c r="C162" s="312"/>
    </row>
    <row r="163" ht="12.75">
      <c r="C163" s="312"/>
    </row>
    <row r="164" ht="12.75">
      <c r="C164" s="312"/>
    </row>
    <row r="165" ht="12.75">
      <c r="C165" s="312"/>
    </row>
    <row r="166" ht="12.75">
      <c r="C166" s="312"/>
    </row>
    <row r="167" ht="12.75">
      <c r="C167" s="312"/>
    </row>
    <row r="168" ht="12.75">
      <c r="C168" s="312"/>
    </row>
    <row r="169" ht="12.75">
      <c r="C169" s="312"/>
    </row>
    <row r="170" ht="12.75">
      <c r="C170" s="312"/>
    </row>
    <row r="171" ht="12.75">
      <c r="C171" s="312"/>
    </row>
    <row r="172" ht="12.75">
      <c r="C172" s="312"/>
    </row>
    <row r="173" ht="12.75">
      <c r="C173" s="312"/>
    </row>
    <row r="174" ht="12.75">
      <c r="C174" s="312"/>
    </row>
    <row r="175" ht="12.75">
      <c r="C175" s="312"/>
    </row>
    <row r="176" ht="12.75">
      <c r="C176" s="312"/>
    </row>
    <row r="177" ht="12.75">
      <c r="C177" s="312"/>
    </row>
    <row r="178" ht="12.75">
      <c r="C178" s="312"/>
    </row>
    <row r="179" ht="12.75">
      <c r="C179" s="312"/>
    </row>
    <row r="180" ht="12.75">
      <c r="C180" s="312"/>
    </row>
    <row r="181" ht="12.75">
      <c r="C181" s="312"/>
    </row>
    <row r="182" ht="12.75">
      <c r="C182" s="312"/>
    </row>
    <row r="183" ht="12.75">
      <c r="C183" s="312"/>
    </row>
    <row r="184" ht="12.75">
      <c r="C184" s="312"/>
    </row>
    <row r="185" ht="12.75">
      <c r="C185" s="312"/>
    </row>
    <row r="186" ht="12.75">
      <c r="C186" s="312"/>
    </row>
    <row r="187" ht="12.75">
      <c r="C187" s="312"/>
    </row>
    <row r="188" ht="12.75">
      <c r="C188" s="312"/>
    </row>
    <row r="189" ht="12.75">
      <c r="C189" s="312"/>
    </row>
    <row r="190" ht="12.75">
      <c r="C190" s="312"/>
    </row>
    <row r="191" ht="12.75">
      <c r="C191" s="312"/>
    </row>
    <row r="192" ht="12.75">
      <c r="C192" s="312"/>
    </row>
    <row r="193" ht="12.75">
      <c r="C193" s="312"/>
    </row>
    <row r="194" ht="12.75">
      <c r="C194" s="312"/>
    </row>
    <row r="195" ht="12.75">
      <c r="C195" s="312"/>
    </row>
    <row r="196" ht="12.75">
      <c r="C196" s="312"/>
    </row>
    <row r="197" ht="12.75">
      <c r="C197" s="312"/>
    </row>
    <row r="198" ht="12.75">
      <c r="C198" s="312"/>
    </row>
    <row r="199" ht="12.75">
      <c r="C199" s="312"/>
    </row>
    <row r="200" ht="12.75">
      <c r="C200" s="312"/>
    </row>
    <row r="201" ht="12.75">
      <c r="C201" s="312"/>
    </row>
    <row r="202" ht="12.75">
      <c r="C202" s="312"/>
    </row>
    <row r="203" ht="12.75">
      <c r="C203" s="312"/>
    </row>
    <row r="204" ht="12.75">
      <c r="C204" s="312"/>
    </row>
    <row r="205" ht="12.75">
      <c r="C205" s="312"/>
    </row>
    <row r="206" ht="12.75">
      <c r="C206" s="312"/>
    </row>
    <row r="207" ht="12.75">
      <c r="C207" s="312"/>
    </row>
    <row r="208" ht="12.75">
      <c r="C208" s="312"/>
    </row>
    <row r="209" ht="12.75">
      <c r="C209" s="312"/>
    </row>
    <row r="210" ht="12.75">
      <c r="C210" s="312"/>
    </row>
    <row r="211" ht="12.75">
      <c r="C211" s="312"/>
    </row>
    <row r="212" ht="12.75">
      <c r="C212" s="312"/>
    </row>
    <row r="213" ht="12.75">
      <c r="C213" s="312"/>
    </row>
    <row r="214" ht="12.75">
      <c r="C214" s="312"/>
    </row>
    <row r="215" ht="12.75">
      <c r="C215" s="312"/>
    </row>
    <row r="216" ht="12.75">
      <c r="C216" s="312"/>
    </row>
    <row r="217" ht="12.75">
      <c r="C217" s="312"/>
    </row>
    <row r="218" ht="12.75">
      <c r="C218" s="312"/>
    </row>
    <row r="219" ht="12.75">
      <c r="C219" s="312"/>
    </row>
    <row r="220" ht="12.75">
      <c r="C220" s="312"/>
    </row>
    <row r="221" ht="12.75">
      <c r="C221" s="312"/>
    </row>
    <row r="222" ht="12.75">
      <c r="C222" s="312"/>
    </row>
    <row r="223" ht="12.75">
      <c r="C223" s="312"/>
    </row>
    <row r="224" ht="12.75">
      <c r="C224" s="312"/>
    </row>
    <row r="225" ht="12.75">
      <c r="C225" s="312"/>
    </row>
    <row r="226" ht="12.75">
      <c r="C226" s="312"/>
    </row>
    <row r="227" ht="12.75">
      <c r="C227" s="312"/>
    </row>
    <row r="228" ht="12.75">
      <c r="C228" s="312"/>
    </row>
    <row r="229" ht="12.75">
      <c r="C229" s="312"/>
    </row>
    <row r="230" ht="12.75">
      <c r="C230" s="312"/>
    </row>
    <row r="231" ht="12.75">
      <c r="C231" s="312"/>
    </row>
    <row r="232" ht="12.75">
      <c r="C232" s="312"/>
    </row>
    <row r="233" ht="12.75">
      <c r="C233" s="312"/>
    </row>
    <row r="234" ht="12.75">
      <c r="C234" s="312"/>
    </row>
    <row r="235" ht="12.75">
      <c r="C235" s="312"/>
    </row>
    <row r="236" ht="12.75">
      <c r="C236" s="312"/>
    </row>
    <row r="237" ht="12.75">
      <c r="C237" s="312"/>
    </row>
    <row r="238" ht="12.75">
      <c r="C238" s="312"/>
    </row>
    <row r="239" ht="12.75">
      <c r="C239" s="312"/>
    </row>
    <row r="240" ht="12.75">
      <c r="C240" s="312"/>
    </row>
    <row r="241" ht="12.75">
      <c r="C241" s="312"/>
    </row>
    <row r="242" ht="12.75">
      <c r="C242" s="312"/>
    </row>
    <row r="243" ht="12.75">
      <c r="C243" s="312"/>
    </row>
    <row r="244" ht="12.75">
      <c r="C244" s="312"/>
    </row>
    <row r="245" ht="12.75">
      <c r="C245" s="312"/>
    </row>
    <row r="246" ht="12.75">
      <c r="C246" s="312"/>
    </row>
    <row r="247" ht="12.75">
      <c r="C247" s="312"/>
    </row>
    <row r="248" ht="12.75">
      <c r="C248" s="312"/>
    </row>
    <row r="249" ht="12.75">
      <c r="C249" s="312"/>
    </row>
    <row r="250" ht="12.75">
      <c r="C250" s="312"/>
    </row>
    <row r="251" ht="12.75">
      <c r="C251" s="312"/>
    </row>
    <row r="252" ht="12.75">
      <c r="C252" s="312"/>
    </row>
    <row r="253" ht="12.75">
      <c r="C253" s="312"/>
    </row>
    <row r="254" ht="12.75">
      <c r="C254" s="312"/>
    </row>
    <row r="255" ht="12.75">
      <c r="C255" s="312"/>
    </row>
    <row r="256" ht="12.75">
      <c r="C256" s="312"/>
    </row>
    <row r="257" ht="12.75">
      <c r="C257" s="312"/>
    </row>
    <row r="258" ht="12.75">
      <c r="C258" s="312"/>
    </row>
    <row r="259" ht="12.75">
      <c r="C259" s="312"/>
    </row>
    <row r="260" ht="12.75">
      <c r="C260" s="312"/>
    </row>
    <row r="261" ht="12.75">
      <c r="C261" s="312"/>
    </row>
    <row r="262" ht="12.75">
      <c r="C262" s="312"/>
    </row>
    <row r="263" ht="12.75">
      <c r="C263" s="312"/>
    </row>
    <row r="264" ht="12.75">
      <c r="C264" s="312"/>
    </row>
    <row r="265" ht="12.75">
      <c r="C265" s="312"/>
    </row>
    <row r="266" ht="12.75">
      <c r="C266" s="312"/>
    </row>
    <row r="267" ht="12.75">
      <c r="C267" s="312"/>
    </row>
    <row r="268" ht="12.75">
      <c r="C268" s="312"/>
    </row>
    <row r="269" ht="12.75">
      <c r="C269" s="312"/>
    </row>
    <row r="270" ht="12.75">
      <c r="C270" s="312"/>
    </row>
    <row r="271" ht="12.75">
      <c r="C271" s="312"/>
    </row>
    <row r="272" ht="12.75">
      <c r="C272" s="312"/>
    </row>
    <row r="273" ht="12.75">
      <c r="C273" s="312"/>
    </row>
    <row r="274" ht="12.75">
      <c r="C274" s="312"/>
    </row>
    <row r="275" ht="12.75">
      <c r="C275" s="312"/>
    </row>
    <row r="276" ht="12.75">
      <c r="C276" s="312"/>
    </row>
    <row r="277" ht="12.75">
      <c r="C277" s="312"/>
    </row>
    <row r="278" ht="12.75">
      <c r="C278" s="312"/>
    </row>
    <row r="279" ht="12.75">
      <c r="C279" s="312"/>
    </row>
    <row r="280" ht="12.75">
      <c r="C280" s="312"/>
    </row>
    <row r="281" ht="12.75">
      <c r="C281" s="312"/>
    </row>
    <row r="282" ht="12.75">
      <c r="C282" s="312"/>
    </row>
    <row r="283" ht="12.75">
      <c r="C283" s="312"/>
    </row>
    <row r="284" ht="12.75">
      <c r="C284" s="312"/>
    </row>
    <row r="285" ht="12.75">
      <c r="C285" s="312"/>
    </row>
    <row r="286" ht="12.75">
      <c r="C286" s="312"/>
    </row>
    <row r="287" ht="12.75">
      <c r="C287" s="312"/>
    </row>
    <row r="288" ht="12.75">
      <c r="C288" s="312"/>
    </row>
    <row r="289" ht="12.75">
      <c r="C289" s="312"/>
    </row>
    <row r="290" ht="12.75">
      <c r="C290" s="312"/>
    </row>
    <row r="291" ht="12.75">
      <c r="C291" s="312"/>
    </row>
    <row r="292" ht="12.75">
      <c r="C292" s="312"/>
    </row>
    <row r="293" ht="12.75">
      <c r="C293" s="312"/>
    </row>
    <row r="294" ht="12.75">
      <c r="C294" s="312"/>
    </row>
    <row r="295" ht="12.75">
      <c r="C295" s="312"/>
    </row>
    <row r="296" ht="12.75">
      <c r="C296" s="312"/>
    </row>
    <row r="297" ht="12.75">
      <c r="C297" s="312"/>
    </row>
    <row r="298" ht="12.75">
      <c r="C298" s="312"/>
    </row>
    <row r="299" ht="12.75">
      <c r="C299" s="312"/>
    </row>
    <row r="300" ht="12.75">
      <c r="C300" s="312"/>
    </row>
    <row r="301" ht="12.75">
      <c r="C301" s="312"/>
    </row>
    <row r="302" ht="12.75">
      <c r="C302" s="312"/>
    </row>
    <row r="303" ht="12.75">
      <c r="C303" s="312"/>
    </row>
    <row r="304" ht="12.75">
      <c r="C304" s="312"/>
    </row>
    <row r="305" ht="12.75">
      <c r="C305" s="312"/>
    </row>
    <row r="306" ht="12.75">
      <c r="C306" s="312"/>
    </row>
    <row r="307" ht="12.75">
      <c r="C307" s="312"/>
    </row>
    <row r="308" ht="12.75">
      <c r="C308" s="312"/>
    </row>
    <row r="309" ht="12.75">
      <c r="C309" s="312"/>
    </row>
    <row r="310" ht="12.75">
      <c r="C310" s="312"/>
    </row>
    <row r="311" ht="12.75">
      <c r="C311" s="312"/>
    </row>
    <row r="312" ht="12.75">
      <c r="C312" s="312"/>
    </row>
    <row r="313" ht="12.75">
      <c r="C313" s="312"/>
    </row>
    <row r="314" ht="12.75">
      <c r="C314" s="312"/>
    </row>
    <row r="315" ht="12.75">
      <c r="C315" s="312"/>
    </row>
    <row r="316" ht="12.75">
      <c r="C316" s="312"/>
    </row>
    <row r="317" ht="12.75">
      <c r="C317" s="312"/>
    </row>
    <row r="318" ht="12.75">
      <c r="C318" s="312"/>
    </row>
    <row r="319" ht="12.75">
      <c r="C319" s="312"/>
    </row>
    <row r="320" ht="12.75">
      <c r="C320" s="312"/>
    </row>
    <row r="321" ht="12.75">
      <c r="C321" s="312"/>
    </row>
    <row r="322" ht="12.75">
      <c r="C322" s="312"/>
    </row>
    <row r="323" ht="12.75">
      <c r="C323" s="312"/>
    </row>
    <row r="324" ht="12.75">
      <c r="C324" s="312"/>
    </row>
    <row r="325" ht="12.75">
      <c r="C325" s="312"/>
    </row>
    <row r="326" ht="12.75">
      <c r="C326" s="312"/>
    </row>
    <row r="327" ht="12.75">
      <c r="C327" s="312"/>
    </row>
    <row r="328" ht="12.75">
      <c r="C328" s="312"/>
    </row>
    <row r="329" ht="12.75">
      <c r="C329" s="312"/>
    </row>
    <row r="330" ht="12.75">
      <c r="C330" s="312"/>
    </row>
    <row r="331" ht="12.75">
      <c r="C331" s="312"/>
    </row>
    <row r="332" ht="12.75">
      <c r="C332" s="312"/>
    </row>
    <row r="333" ht="12.75">
      <c r="C333" s="312"/>
    </row>
    <row r="334" ht="12.75">
      <c r="C334" s="312"/>
    </row>
    <row r="335" ht="12.75">
      <c r="C335" s="312"/>
    </row>
    <row r="336" ht="12.75">
      <c r="C336" s="312"/>
    </row>
    <row r="337" ht="12.75">
      <c r="C337" s="312"/>
    </row>
    <row r="338" ht="12.75">
      <c r="C338" s="312"/>
    </row>
    <row r="339" ht="12.75">
      <c r="C339" s="312"/>
    </row>
    <row r="340" ht="12.75">
      <c r="C340" s="312"/>
    </row>
    <row r="341" ht="12.75">
      <c r="C341" s="312"/>
    </row>
    <row r="342" ht="12.75">
      <c r="C342" s="312"/>
    </row>
    <row r="343" ht="12.75">
      <c r="C343" s="312"/>
    </row>
    <row r="344" ht="12.75">
      <c r="C344" s="312"/>
    </row>
    <row r="345" ht="12.75">
      <c r="C345" s="312"/>
    </row>
    <row r="346" ht="12.75">
      <c r="C346" s="312"/>
    </row>
    <row r="347" ht="12.75">
      <c r="C347" s="312"/>
    </row>
    <row r="348" ht="12.75">
      <c r="C348" s="312"/>
    </row>
    <row r="349" ht="12.75">
      <c r="C349" s="312"/>
    </row>
    <row r="350" ht="12.75">
      <c r="C350" s="312"/>
    </row>
    <row r="351" ht="12.75">
      <c r="C351" s="312"/>
    </row>
    <row r="352" ht="12.75">
      <c r="C352" s="312"/>
    </row>
  </sheetData>
  <mergeCells count="15">
    <mergeCell ref="I7:P7"/>
    <mergeCell ref="D8:D9"/>
    <mergeCell ref="AE8:AF8"/>
    <mergeCell ref="C7:C9"/>
    <mergeCell ref="Q7:V7"/>
    <mergeCell ref="G8:H8"/>
    <mergeCell ref="I8:L8"/>
    <mergeCell ref="M8:P8"/>
    <mergeCell ref="Q8:R8"/>
    <mergeCell ref="F8:F9"/>
    <mergeCell ref="AA8:AD8"/>
    <mergeCell ref="E8:E9"/>
    <mergeCell ref="S8:T8"/>
    <mergeCell ref="U8:V8"/>
    <mergeCell ref="W8:Z8"/>
  </mergeCells>
  <printOptions gridLines="1"/>
  <pageMargins left="0.75" right="0.75" top="1" bottom="1" header="0.5" footer="0.5"/>
  <pageSetup fitToHeight="2" fitToWidth="1" horizontalDpi="600" verticalDpi="600" orientation="landscape" r:id="rId3"/>
  <headerFooter alignWithMargins="0">
    <oddHeader>&amp;CChevron Richmond Refinery
Applicable Water Quality Objectives/Criteria</oddHeader>
    <oddFooter>&amp;L&amp;A&amp;C&amp;P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5"/>
  <sheetViews>
    <sheetView workbookViewId="0" topLeftCell="A6">
      <pane xSplit="2" ySplit="2" topLeftCell="C113" activePane="bottomRight" state="frozen"/>
      <selection pane="topLeft" activeCell="A6" sqref="A6"/>
      <selection pane="topRight" activeCell="C6" sqref="C6"/>
      <selection pane="bottomLeft" activeCell="A8" sqref="A8"/>
      <selection pane="bottomRight" activeCell="B136" sqref="B136"/>
    </sheetView>
  </sheetViews>
  <sheetFormatPr defaultColWidth="9.140625" defaultRowHeight="12.75"/>
  <cols>
    <col min="1" max="1" width="9.140625" style="205" customWidth="1"/>
    <col min="2" max="2" width="20.8515625" style="205" customWidth="1"/>
    <col min="3" max="4" width="9.140625" style="205" customWidth="1"/>
    <col min="5" max="5" width="10.8515625" style="205" customWidth="1"/>
    <col min="6" max="6" width="11.00390625" style="297" bestFit="1" customWidth="1"/>
    <col min="7" max="7" width="15.00390625" style="205" customWidth="1"/>
    <col min="8" max="8" width="0.9921875" style="205" customWidth="1"/>
    <col min="9" max="10" width="9.140625" style="205" customWidth="1"/>
    <col min="11" max="11" width="10.8515625" style="205" customWidth="1"/>
    <col min="12" max="12" width="12.421875" style="205" customWidth="1"/>
    <col min="13" max="13" width="15.00390625" style="205" customWidth="1"/>
    <col min="14" max="14" width="1.57421875" style="205" customWidth="1"/>
    <col min="15" max="15" width="23.8515625" style="205" customWidth="1"/>
    <col min="16" max="59" width="9.140625" style="205" customWidth="1"/>
    <col min="60" max="16384" width="8.8515625" style="0" customWidth="1"/>
  </cols>
  <sheetData>
    <row r="1" ht="11.25"/>
    <row r="2" ht="11.25">
      <c r="A2" s="185" t="s">
        <v>27</v>
      </c>
    </row>
    <row r="3" ht="11.25">
      <c r="A3" s="185" t="s">
        <v>28</v>
      </c>
    </row>
    <row r="4" ht="12" thickBot="1"/>
    <row r="5" spans="1:15" ht="14.25" thickBot="1" thickTop="1">
      <c r="A5" s="206"/>
      <c r="B5" s="207"/>
      <c r="C5" s="466" t="s">
        <v>29</v>
      </c>
      <c r="D5" s="467"/>
      <c r="E5" s="467"/>
      <c r="F5" s="467"/>
      <c r="G5" s="467"/>
      <c r="H5" s="208"/>
      <c r="I5" s="468" t="s">
        <v>30</v>
      </c>
      <c r="J5" s="469"/>
      <c r="K5" s="469"/>
      <c r="L5" s="469"/>
      <c r="M5" s="470"/>
      <c r="N5" s="208"/>
      <c r="O5" s="209"/>
    </row>
    <row r="6" spans="1:15" ht="11.25">
      <c r="A6" s="457" t="s">
        <v>278</v>
      </c>
      <c r="B6" s="458" t="s">
        <v>31</v>
      </c>
      <c r="C6" s="460" t="s">
        <v>32</v>
      </c>
      <c r="D6" s="462" t="s">
        <v>33</v>
      </c>
      <c r="E6" s="462" t="s">
        <v>201</v>
      </c>
      <c r="F6" s="471" t="s">
        <v>202</v>
      </c>
      <c r="G6" s="210"/>
      <c r="H6" s="211"/>
      <c r="I6" s="473" t="s">
        <v>203</v>
      </c>
      <c r="J6" s="462" t="s">
        <v>204</v>
      </c>
      <c r="K6" s="462" t="s">
        <v>201</v>
      </c>
      <c r="L6" s="212"/>
      <c r="M6" s="213"/>
      <c r="N6" s="211"/>
      <c r="O6" s="464" t="s">
        <v>205</v>
      </c>
    </row>
    <row r="7" spans="1:15" ht="57" thickBot="1">
      <c r="A7" s="427"/>
      <c r="B7" s="459"/>
      <c r="C7" s="461"/>
      <c r="D7" s="463"/>
      <c r="E7" s="463"/>
      <c r="F7" s="472"/>
      <c r="G7" s="214" t="s">
        <v>206</v>
      </c>
      <c r="H7" s="215"/>
      <c r="I7" s="474"/>
      <c r="J7" s="463"/>
      <c r="K7" s="463"/>
      <c r="L7" s="216" t="s">
        <v>207</v>
      </c>
      <c r="M7" s="217" t="s">
        <v>206</v>
      </c>
      <c r="N7" s="215"/>
      <c r="O7" s="465"/>
    </row>
    <row r="8" spans="1:15" ht="13.5" thickTop="1">
      <c r="A8" s="218">
        <v>1</v>
      </c>
      <c r="B8" s="219" t="s">
        <v>77</v>
      </c>
      <c r="C8" s="246" t="str">
        <f>IF(F8&gt;0,"Y",IF(E8&gt;0,"Y",""))</f>
        <v>Y</v>
      </c>
      <c r="D8" s="246" t="s">
        <v>208</v>
      </c>
      <c r="E8" s="246"/>
      <c r="F8">
        <v>1.02</v>
      </c>
      <c r="G8" s="222">
        <f>IF(C8="","Check input",IF(C8="Y",IF(D8="","Check input",IF(D8="Y",IF(E8="","Check input",IF(F8="","","Check input")),IF(E8="",IF(F8="","Check input",""),"Check input"))),IF(D8="",IF(E8="",IF(F8="","","Check input"),"Check input"),"Check input")))</f>
      </c>
      <c r="H8" s="215"/>
      <c r="I8" s="245" t="s">
        <v>37</v>
      </c>
      <c r="J8" s="220" t="s">
        <v>208</v>
      </c>
      <c r="K8" s="220"/>
      <c r="L8" s="246">
        <v>1.8</v>
      </c>
      <c r="M8" s="221">
        <f>IF(I8="","Check input",IF(I8="Y",IF(J8="","Check input",IF(J8="Y",IF(K8="","Check input",IF(L8="","","Check input")),IF(K8="",IF(L8="","Check input",""),"Check input"))),IF(J8="",IF(K8="",IF(L8="","","Check input"),"Check input"),"Check input")))</f>
      </c>
      <c r="N8" s="215"/>
      <c r="O8" s="220">
        <f>IF(RPA!C5="No Criteria","No Criteria","")</f>
      </c>
    </row>
    <row r="9" spans="1:16" ht="12.75">
      <c r="A9" s="223">
        <v>2</v>
      </c>
      <c r="B9" s="224" t="s">
        <v>209</v>
      </c>
      <c r="C9" s="246" t="str">
        <f aca="true" t="shared" si="0" ref="C9:C71">IF(F9&gt;0,"Y",IF(E9&gt;0,"Y",""))</f>
        <v>Y</v>
      </c>
      <c r="D9" s="358" t="s">
        <v>208</v>
      </c>
      <c r="E9" s="226"/>
      <c r="F9">
        <v>28.2</v>
      </c>
      <c r="G9" s="222">
        <f aca="true" t="shared" si="1" ref="G9:G72">IF(C9="","Check input",IF(C9="Y",IF(D9="","Check input",IF(D9="Y",IF(E9="","Check input",IF(F9="","","Check input")),IF(E9="",IF(F9="","Check input",""),"Check input"))),IF(D9="",IF(E9="",IF(F9="","","Check input"),"Check input"),"Check input")))</f>
      </c>
      <c r="H9" s="215"/>
      <c r="I9" s="416" t="s">
        <v>37</v>
      </c>
      <c r="J9" s="225" t="s">
        <v>208</v>
      </c>
      <c r="K9" s="225"/>
      <c r="L9" s="246">
        <v>2.46</v>
      </c>
      <c r="M9" s="221">
        <f aca="true" t="shared" si="2" ref="M9:M72">IF(I9="","Check input",IF(I9="Y",IF(J9="","Check input",IF(J9="Y",IF(K9="","Check input",IF(L9="","","Check input")),IF(K9="",IF(L9="","Check input",""),"Check input"))),IF(J9="",IF(K9="",IF(L9="","","Check input"),"Check input"),"Check input")))</f>
      </c>
      <c r="N9" s="215"/>
      <c r="O9" s="220">
        <f>IF(RPA!C6="No Criteria","No Criteria","")</f>
      </c>
      <c r="P9" s="205" t="s">
        <v>34</v>
      </c>
    </row>
    <row r="10" spans="1:15" ht="12.75">
      <c r="A10" s="223">
        <v>3</v>
      </c>
      <c r="B10" s="224" t="s">
        <v>210</v>
      </c>
      <c r="C10" s="246" t="str">
        <f t="shared" si="0"/>
        <v>Y</v>
      </c>
      <c r="D10" s="226" t="s">
        <v>37</v>
      </c>
      <c r="E10" s="226">
        <v>0.2</v>
      </c>
      <c r="F10"/>
      <c r="G10" s="222">
        <f t="shared" si="1"/>
      </c>
      <c r="H10" s="215"/>
      <c r="I10" s="416" t="s">
        <v>37</v>
      </c>
      <c r="J10" s="225" t="s">
        <v>208</v>
      </c>
      <c r="K10" s="225"/>
      <c r="L10" s="246">
        <v>0.215</v>
      </c>
      <c r="M10" s="221">
        <f t="shared" si="2"/>
      </c>
      <c r="N10" s="215"/>
      <c r="O10" s="220" t="str">
        <f>IF(RPA!C7="No Criteria","No Criteria","")</f>
        <v>No Criteria</v>
      </c>
    </row>
    <row r="11" spans="1:16" ht="12.75">
      <c r="A11" s="223">
        <v>4</v>
      </c>
      <c r="B11" s="224" t="s">
        <v>211</v>
      </c>
      <c r="C11" s="246" t="str">
        <f t="shared" si="0"/>
        <v>Y</v>
      </c>
      <c r="D11" s="358" t="s">
        <v>208</v>
      </c>
      <c r="E11" s="226"/>
      <c r="F11">
        <v>0.2</v>
      </c>
      <c r="G11" s="222">
        <f t="shared" si="1"/>
      </c>
      <c r="H11" s="215"/>
      <c r="I11" s="416" t="s">
        <v>37</v>
      </c>
      <c r="J11" s="225" t="s">
        <v>208</v>
      </c>
      <c r="K11" s="225"/>
      <c r="L11" s="246">
        <v>0.1268</v>
      </c>
      <c r="M11" s="221">
        <f t="shared" si="2"/>
      </c>
      <c r="N11" s="215"/>
      <c r="O11" s="220">
        <f>IF(RPA!C8="No Criteria","No Criteria","")</f>
      </c>
      <c r="P11" s="205" t="s">
        <v>34</v>
      </c>
    </row>
    <row r="12" spans="1:16" ht="12.75">
      <c r="A12" s="223" t="s">
        <v>81</v>
      </c>
      <c r="B12" s="224" t="s">
        <v>82</v>
      </c>
      <c r="C12" s="246" t="str">
        <f t="shared" si="0"/>
        <v>Y</v>
      </c>
      <c r="D12" s="358" t="s">
        <v>208</v>
      </c>
      <c r="E12" s="358"/>
      <c r="F12">
        <v>2.86</v>
      </c>
      <c r="G12" s="222">
        <f t="shared" si="1"/>
      </c>
      <c r="H12" s="215"/>
      <c r="I12" s="416" t="s">
        <v>208</v>
      </c>
      <c r="J12" s="228"/>
      <c r="K12" s="228"/>
      <c r="L12" s="246"/>
      <c r="M12" s="221">
        <f t="shared" si="2"/>
      </c>
      <c r="N12" s="215"/>
      <c r="O12" s="220">
        <f>IF(RPA!C9="No Criteria","No Criteria","")</f>
      </c>
      <c r="P12" s="205" t="s">
        <v>34</v>
      </c>
    </row>
    <row r="13" spans="1:16" ht="12.75">
      <c r="A13" s="223" t="s">
        <v>83</v>
      </c>
      <c r="B13" s="224" t="s">
        <v>212</v>
      </c>
      <c r="C13" s="246" t="str">
        <f t="shared" si="0"/>
        <v>Y</v>
      </c>
      <c r="D13" s="358" t="s">
        <v>208</v>
      </c>
      <c r="E13" s="358"/>
      <c r="F13">
        <v>1.44</v>
      </c>
      <c r="G13" s="222">
        <f t="shared" si="1"/>
      </c>
      <c r="H13" s="215"/>
      <c r="I13" s="416" t="s">
        <v>37</v>
      </c>
      <c r="J13" s="225" t="s">
        <v>208</v>
      </c>
      <c r="K13" s="228"/>
      <c r="L13" s="246">
        <v>4.4</v>
      </c>
      <c r="M13" s="221">
        <f>IF(I13="","Check input",IF(I13="Y",IF(J13="","Check input",IF(J13="Y",IF(K13="","Check input",IF(L13="","","Check input")),IF(K13="",IF(L13="","Check input",""),"Check input"))),IF(J13="",IF(K13="",IF(L13="","","Check input"),"Check input"),"Check input")))</f>
      </c>
      <c r="N13" s="215"/>
      <c r="O13" s="220">
        <f>IF(RPA!C10="No Criteria","No Criteria","")</f>
      </c>
      <c r="P13" s="205" t="s">
        <v>35</v>
      </c>
    </row>
    <row r="14" spans="1:16" ht="12.75">
      <c r="A14" s="223">
        <v>6</v>
      </c>
      <c r="B14" s="229" t="s">
        <v>85</v>
      </c>
      <c r="C14" s="246" t="str">
        <f t="shared" si="0"/>
        <v>Y</v>
      </c>
      <c r="D14" s="358" t="s">
        <v>208</v>
      </c>
      <c r="E14" s="359"/>
      <c r="F14">
        <v>6.73</v>
      </c>
      <c r="G14" s="222">
        <f t="shared" si="1"/>
      </c>
      <c r="H14" s="215"/>
      <c r="I14" s="416" t="s">
        <v>37</v>
      </c>
      <c r="J14" s="225" t="s">
        <v>208</v>
      </c>
      <c r="K14" s="230"/>
      <c r="L14" s="246">
        <v>2.45</v>
      </c>
      <c r="M14" s="221">
        <f t="shared" si="2"/>
      </c>
      <c r="N14" s="215"/>
      <c r="O14" s="220">
        <f>IF(RPA!C11="No Criteria","No Criteria","")</f>
      </c>
      <c r="P14" s="205" t="s">
        <v>34</v>
      </c>
    </row>
    <row r="15" spans="1:16" ht="12.75">
      <c r="A15" s="223">
        <v>7</v>
      </c>
      <c r="B15" s="224" t="s">
        <v>213</v>
      </c>
      <c r="C15" s="246" t="str">
        <f t="shared" si="0"/>
        <v>Y</v>
      </c>
      <c r="D15" s="358" t="s">
        <v>208</v>
      </c>
      <c r="E15" s="358"/>
      <c r="F15">
        <v>2.68</v>
      </c>
      <c r="G15" s="222">
        <f t="shared" si="1"/>
      </c>
      <c r="H15" s="215"/>
      <c r="I15" s="416" t="s">
        <v>37</v>
      </c>
      <c r="J15" s="225" t="s">
        <v>208</v>
      </c>
      <c r="K15" s="228"/>
      <c r="L15" s="246">
        <v>0.8</v>
      </c>
      <c r="M15" s="221">
        <f t="shared" si="2"/>
      </c>
      <c r="N15" s="215"/>
      <c r="O15" s="220">
        <f>IF(RPA!C12="No Criteria","No Criteria","")</f>
      </c>
      <c r="P15" s="205" t="s">
        <v>34</v>
      </c>
    </row>
    <row r="16" spans="1:16" ht="12.75">
      <c r="A16" s="223">
        <v>8</v>
      </c>
      <c r="B16" s="229" t="s">
        <v>214</v>
      </c>
      <c r="C16" s="246" t="str">
        <f t="shared" si="0"/>
        <v>Y</v>
      </c>
      <c r="D16" s="358" t="s">
        <v>208</v>
      </c>
      <c r="E16" s="358"/>
      <c r="F16">
        <v>0.11</v>
      </c>
      <c r="G16" s="222">
        <f t="shared" si="1"/>
      </c>
      <c r="H16" s="215"/>
      <c r="I16" s="416" t="s">
        <v>37</v>
      </c>
      <c r="J16" s="225" t="s">
        <v>208</v>
      </c>
      <c r="K16" s="228"/>
      <c r="L16" s="246">
        <v>0.0086</v>
      </c>
      <c r="M16" s="221">
        <f t="shared" si="2"/>
      </c>
      <c r="N16" s="215"/>
      <c r="O16" s="220">
        <f>IF(RPA!C13="No Criteria","No Criteria","")</f>
      </c>
      <c r="P16" s="205" t="s">
        <v>34</v>
      </c>
    </row>
    <row r="17" spans="1:16" ht="12.75">
      <c r="A17" s="223">
        <v>9</v>
      </c>
      <c r="B17" s="231" t="s">
        <v>215</v>
      </c>
      <c r="C17" s="246" t="str">
        <f t="shared" si="0"/>
        <v>Y</v>
      </c>
      <c r="D17" s="358" t="s">
        <v>208</v>
      </c>
      <c r="E17" s="358"/>
      <c r="F17">
        <v>37.8</v>
      </c>
      <c r="G17" s="222">
        <f t="shared" si="1"/>
      </c>
      <c r="H17" s="215"/>
      <c r="I17" s="416" t="s">
        <v>37</v>
      </c>
      <c r="J17" s="225" t="s">
        <v>208</v>
      </c>
      <c r="K17" s="228"/>
      <c r="L17" s="246">
        <v>3.7</v>
      </c>
      <c r="M17" s="221">
        <f t="shared" si="2"/>
      </c>
      <c r="N17" s="215"/>
      <c r="O17" s="220">
        <f>IF(RPA!C14="No Criteria","No Criteria","")</f>
      </c>
      <c r="P17" s="205" t="s">
        <v>34</v>
      </c>
    </row>
    <row r="18" spans="1:16" ht="12.75">
      <c r="A18" s="223">
        <v>10</v>
      </c>
      <c r="B18" s="229" t="s">
        <v>89</v>
      </c>
      <c r="C18" s="246" t="str">
        <f t="shared" si="0"/>
        <v>Y</v>
      </c>
      <c r="D18" s="358" t="s">
        <v>208</v>
      </c>
      <c r="E18" s="358"/>
      <c r="F18">
        <v>22.1</v>
      </c>
      <c r="G18" s="222">
        <f t="shared" si="1"/>
      </c>
      <c r="H18" s="215"/>
      <c r="I18" s="416" t="s">
        <v>37</v>
      </c>
      <c r="J18" s="225" t="s">
        <v>208</v>
      </c>
      <c r="K18" s="228"/>
      <c r="L18" s="246">
        <v>0.39</v>
      </c>
      <c r="M18" s="221">
        <f t="shared" si="2"/>
      </c>
      <c r="N18" s="215"/>
      <c r="O18" s="220">
        <f>IF(RPA!C15="No Criteria","No Criteria","")</f>
      </c>
      <c r="P18" s="205" t="s">
        <v>34</v>
      </c>
    </row>
    <row r="19" spans="1:16" ht="12.75">
      <c r="A19" s="223">
        <v>11</v>
      </c>
      <c r="B19" s="232" t="s">
        <v>216</v>
      </c>
      <c r="C19" s="246" t="str">
        <f t="shared" si="0"/>
        <v>Y</v>
      </c>
      <c r="D19" s="358" t="s">
        <v>37</v>
      </c>
      <c r="E19" s="358">
        <v>0.5</v>
      </c>
      <c r="F19"/>
      <c r="G19" s="222">
        <f t="shared" si="1"/>
      </c>
      <c r="H19" s="215"/>
      <c r="I19" s="416" t="s">
        <v>37</v>
      </c>
      <c r="J19" s="225" t="s">
        <v>208</v>
      </c>
      <c r="K19" s="228"/>
      <c r="L19" s="246">
        <v>0.0516</v>
      </c>
      <c r="M19" s="221">
        <f t="shared" si="2"/>
      </c>
      <c r="N19" s="215"/>
      <c r="O19" s="220">
        <f>IF(RPA!C16="No Criteria","No Criteria","")</f>
      </c>
      <c r="P19" s="205" t="s">
        <v>34</v>
      </c>
    </row>
    <row r="20" spans="1:16" ht="12.75">
      <c r="A20" s="223">
        <v>12</v>
      </c>
      <c r="B20" s="224" t="s">
        <v>91</v>
      </c>
      <c r="C20" s="246" t="str">
        <f t="shared" si="0"/>
        <v>Y</v>
      </c>
      <c r="D20" s="358" t="s">
        <v>208</v>
      </c>
      <c r="E20" s="358"/>
      <c r="F20">
        <v>1.46</v>
      </c>
      <c r="G20" s="222">
        <f t="shared" si="1"/>
      </c>
      <c r="H20" s="215"/>
      <c r="I20" s="416" t="s">
        <v>37</v>
      </c>
      <c r="J20" s="228" t="s">
        <v>208</v>
      </c>
      <c r="K20" s="228"/>
      <c r="L20" s="246">
        <v>0.21</v>
      </c>
      <c r="M20" s="221">
        <f t="shared" si="2"/>
      </c>
      <c r="N20" s="215"/>
      <c r="O20" s="220">
        <f>IF(RPA!C17="No Criteria","No Criteria","")</f>
      </c>
      <c r="P20" s="205" t="s">
        <v>34</v>
      </c>
    </row>
    <row r="21" spans="1:16" ht="12.75">
      <c r="A21" s="223">
        <v>13</v>
      </c>
      <c r="B21" s="229" t="s">
        <v>217</v>
      </c>
      <c r="C21" s="246" t="str">
        <f t="shared" si="0"/>
        <v>Y</v>
      </c>
      <c r="D21" s="358" t="s">
        <v>208</v>
      </c>
      <c r="E21" s="226"/>
      <c r="F21">
        <v>50.41</v>
      </c>
      <c r="G21" s="222">
        <f t="shared" si="1"/>
      </c>
      <c r="H21" s="215"/>
      <c r="I21" s="416" t="s">
        <v>37</v>
      </c>
      <c r="J21" s="225" t="s">
        <v>208</v>
      </c>
      <c r="K21" s="225"/>
      <c r="L21" s="246">
        <v>4.4</v>
      </c>
      <c r="M21" s="221">
        <f t="shared" si="2"/>
      </c>
      <c r="N21" s="215"/>
      <c r="O21" s="220">
        <f>IF(RPA!C18="No Criteria","No Criteria","")</f>
      </c>
      <c r="P21" s="205" t="s">
        <v>34</v>
      </c>
    </row>
    <row r="22" spans="1:16" ht="12.75">
      <c r="A22" s="223">
        <v>14</v>
      </c>
      <c r="B22" s="229" t="s">
        <v>218</v>
      </c>
      <c r="C22" s="246" t="str">
        <f t="shared" si="0"/>
        <v>Y</v>
      </c>
      <c r="D22" s="358" t="s">
        <v>208</v>
      </c>
      <c r="E22" s="226"/>
      <c r="F22">
        <v>4.8</v>
      </c>
      <c r="G22" s="222">
        <f t="shared" si="1"/>
      </c>
      <c r="H22" s="215"/>
      <c r="I22" s="416" t="s">
        <v>37</v>
      </c>
      <c r="J22" s="225" t="s">
        <v>37</v>
      </c>
      <c r="K22" s="225">
        <v>0.4</v>
      </c>
      <c r="L22" s="246"/>
      <c r="M22" s="221">
        <f t="shared" si="2"/>
      </c>
      <c r="N22" s="215"/>
      <c r="O22" s="220">
        <f>IF(RPA!C19="No Criteria","No Criteria","")</f>
      </c>
      <c r="P22" s="205" t="s">
        <v>34</v>
      </c>
    </row>
    <row r="23" spans="1:15" ht="12.75">
      <c r="A23" s="223">
        <v>15</v>
      </c>
      <c r="B23" s="224" t="s">
        <v>94</v>
      </c>
      <c r="C23" s="246">
        <f t="shared" si="0"/>
      </c>
      <c r="D23" s="226"/>
      <c r="E23" s="226"/>
      <c r="F23"/>
      <c r="G23" s="222"/>
      <c r="H23" s="215"/>
      <c r="I23" s="416" t="s">
        <v>208</v>
      </c>
      <c r="J23" s="225"/>
      <c r="K23" s="225"/>
      <c r="L23" s="246"/>
      <c r="M23" s="221">
        <f t="shared" si="2"/>
      </c>
      <c r="N23" s="215"/>
      <c r="O23" s="220" t="str">
        <f>IF(RPA!C20="No Criteria","No Criteria","")</f>
        <v>No Criteria</v>
      </c>
    </row>
    <row r="24" spans="1:15" ht="12" customHeight="1">
      <c r="A24" s="233">
        <v>16</v>
      </c>
      <c r="B24" s="234" t="s">
        <v>365</v>
      </c>
      <c r="C24" s="246" t="s">
        <v>37</v>
      </c>
      <c r="D24" s="226" t="s">
        <v>37</v>
      </c>
      <c r="E24" s="360"/>
      <c r="F24"/>
      <c r="G24" s="222"/>
      <c r="H24" s="215"/>
      <c r="I24" s="416" t="s">
        <v>37</v>
      </c>
      <c r="J24" s="225" t="s">
        <v>208</v>
      </c>
      <c r="K24" s="225"/>
      <c r="L24" s="276">
        <v>7.1E-08</v>
      </c>
      <c r="M24" s="221">
        <f t="shared" si="2"/>
      </c>
      <c r="N24" s="215"/>
      <c r="O24" s="220">
        <f>IF(RPA!C22="No Criteria","No Criteria","")</f>
      </c>
    </row>
    <row r="25" spans="1:15" ht="12.75">
      <c r="A25" s="223">
        <v>17</v>
      </c>
      <c r="B25" s="224" t="s">
        <v>96</v>
      </c>
      <c r="C25" s="246" t="str">
        <f t="shared" si="0"/>
        <v>Y</v>
      </c>
      <c r="D25" s="226" t="s">
        <v>37</v>
      </c>
      <c r="E25">
        <v>0.5</v>
      </c>
      <c r="F25" s="299"/>
      <c r="G25" s="222">
        <f t="shared" si="1"/>
      </c>
      <c r="H25" s="215"/>
      <c r="I25" s="416" t="s">
        <v>37</v>
      </c>
      <c r="J25" s="225" t="s">
        <v>37</v>
      </c>
      <c r="K25" s="225">
        <v>0.5</v>
      </c>
      <c r="L25" s="246"/>
      <c r="M25" s="221">
        <f t="shared" si="2"/>
      </c>
      <c r="N25" s="215"/>
      <c r="O25" s="220">
        <f>IF(RPA!C23="No Criteria","No Criteria","")</f>
      </c>
    </row>
    <row r="26" spans="1:15" ht="12.75">
      <c r="A26" s="223">
        <v>18</v>
      </c>
      <c r="B26" s="224" t="s">
        <v>97</v>
      </c>
      <c r="C26" s="246" t="str">
        <f t="shared" si="0"/>
        <v>Y</v>
      </c>
      <c r="D26" s="226" t="s">
        <v>37</v>
      </c>
      <c r="E26">
        <v>2</v>
      </c>
      <c r="F26" s="299"/>
      <c r="G26" s="222">
        <f t="shared" si="1"/>
      </c>
      <c r="H26" s="215"/>
      <c r="I26" s="416" t="s">
        <v>37</v>
      </c>
      <c r="J26" s="225" t="s">
        <v>208</v>
      </c>
      <c r="K26" s="225"/>
      <c r="L26" s="246">
        <v>0.03</v>
      </c>
      <c r="M26" s="221">
        <f t="shared" si="2"/>
      </c>
      <c r="N26" s="215"/>
      <c r="O26" s="220">
        <f>IF(RPA!C24="No Criteria","No Criteria","")</f>
      </c>
    </row>
    <row r="27" spans="1:15" ht="12.75">
      <c r="A27" s="223">
        <v>19</v>
      </c>
      <c r="B27" s="224" t="s">
        <v>98</v>
      </c>
      <c r="C27" s="246" t="str">
        <f t="shared" si="0"/>
        <v>Y</v>
      </c>
      <c r="D27" s="226" t="s">
        <v>37</v>
      </c>
      <c r="E27">
        <v>0.5</v>
      </c>
      <c r="F27" s="299"/>
      <c r="G27" s="222">
        <f t="shared" si="1"/>
      </c>
      <c r="H27" s="215"/>
      <c r="I27" s="416" t="s">
        <v>37</v>
      </c>
      <c r="J27" s="225" t="s">
        <v>37</v>
      </c>
      <c r="K27" s="225">
        <v>0.05</v>
      </c>
      <c r="L27" s="246"/>
      <c r="M27" s="221">
        <f t="shared" si="2"/>
      </c>
      <c r="N27" s="215"/>
      <c r="O27" s="220">
        <f>IF(RPA!C25="No Criteria","No Criteria","")</f>
      </c>
    </row>
    <row r="28" spans="1:15" ht="12.75">
      <c r="A28" s="223">
        <v>20</v>
      </c>
      <c r="B28" s="224" t="s">
        <v>99</v>
      </c>
      <c r="C28" s="246" t="str">
        <f t="shared" si="0"/>
        <v>Y</v>
      </c>
      <c r="D28" s="226" t="s">
        <v>37</v>
      </c>
      <c r="E28">
        <v>0.5</v>
      </c>
      <c r="F28" s="299"/>
      <c r="G28" s="222">
        <f t="shared" si="1"/>
      </c>
      <c r="H28" s="215"/>
      <c r="I28" s="416" t="s">
        <v>37</v>
      </c>
      <c r="J28" s="225" t="s">
        <v>37</v>
      </c>
      <c r="K28" s="225">
        <v>0.5</v>
      </c>
      <c r="L28" s="246"/>
      <c r="M28" s="221">
        <f t="shared" si="2"/>
      </c>
      <c r="N28" s="215"/>
      <c r="O28" s="220">
        <f>IF(RPA!C26="No Criteria","No Criteria","")</f>
      </c>
    </row>
    <row r="29" spans="1:15" ht="12.75">
      <c r="A29" s="223">
        <v>21</v>
      </c>
      <c r="B29" s="224" t="s">
        <v>100</v>
      </c>
      <c r="C29" s="246" t="str">
        <f t="shared" si="0"/>
        <v>Y</v>
      </c>
      <c r="D29" s="226" t="s">
        <v>37</v>
      </c>
      <c r="E29">
        <v>0.5</v>
      </c>
      <c r="F29" s="299"/>
      <c r="G29" s="222">
        <f t="shared" si="1"/>
      </c>
      <c r="H29" s="215"/>
      <c r="I29" s="416" t="s">
        <v>37</v>
      </c>
      <c r="J29" s="225" t="s">
        <v>208</v>
      </c>
      <c r="K29" s="225"/>
      <c r="L29" s="246">
        <v>0.06</v>
      </c>
      <c r="M29" s="221">
        <f t="shared" si="2"/>
      </c>
      <c r="N29" s="215"/>
      <c r="O29" s="220">
        <f>IF(RPA!C27="No Criteria","No Criteria","")</f>
      </c>
    </row>
    <row r="30" spans="1:15" ht="12.75">
      <c r="A30" s="223">
        <v>22</v>
      </c>
      <c r="B30" s="224" t="s">
        <v>101</v>
      </c>
      <c r="C30" s="246" t="str">
        <f t="shared" si="0"/>
        <v>Y</v>
      </c>
      <c r="D30" s="226" t="s">
        <v>37</v>
      </c>
      <c r="E30">
        <v>0.5</v>
      </c>
      <c r="F30" s="299"/>
      <c r="G30" s="222">
        <f t="shared" si="1"/>
      </c>
      <c r="H30" s="215"/>
      <c r="I30" s="416" t="s">
        <v>37</v>
      </c>
      <c r="J30" s="225" t="s">
        <v>37</v>
      </c>
      <c r="K30" s="225">
        <v>0.5</v>
      </c>
      <c r="L30" s="246"/>
      <c r="M30" s="221">
        <f t="shared" si="2"/>
      </c>
      <c r="N30" s="215"/>
      <c r="O30" s="220">
        <f>IF(RPA!C28="No Criteria","No Criteria","")</f>
      </c>
    </row>
    <row r="31" spans="1:15" ht="12.75">
      <c r="A31" s="223">
        <v>23</v>
      </c>
      <c r="B31" s="224" t="s">
        <v>219</v>
      </c>
      <c r="C31" s="246" t="str">
        <f t="shared" si="0"/>
        <v>Y</v>
      </c>
      <c r="D31" s="226" t="s">
        <v>37</v>
      </c>
      <c r="E31">
        <v>0.5</v>
      </c>
      <c r="F31" s="299"/>
      <c r="G31" s="222">
        <f t="shared" si="1"/>
      </c>
      <c r="H31" s="215"/>
      <c r="I31" s="416" t="s">
        <v>37</v>
      </c>
      <c r="J31" s="225" t="s">
        <v>37</v>
      </c>
      <c r="K31" s="225">
        <v>0.05</v>
      </c>
      <c r="L31" s="246"/>
      <c r="M31" s="221">
        <f t="shared" si="2"/>
      </c>
      <c r="N31" s="215"/>
      <c r="O31" s="220">
        <f>IF(RPA!C29="No Criteria","No Criteria","")</f>
      </c>
    </row>
    <row r="32" spans="1:15" ht="12.75">
      <c r="A32" s="223">
        <v>24</v>
      </c>
      <c r="B32" s="224" t="s">
        <v>103</v>
      </c>
      <c r="C32" s="246" t="str">
        <f t="shared" si="0"/>
        <v>Y</v>
      </c>
      <c r="D32" s="226" t="s">
        <v>303</v>
      </c>
      <c r="E32">
        <v>0.5</v>
      </c>
      <c r="F32" s="299"/>
      <c r="G32" s="222">
        <f t="shared" si="1"/>
      </c>
      <c r="H32" s="215"/>
      <c r="I32" s="416" t="s">
        <v>37</v>
      </c>
      <c r="J32" s="225" t="s">
        <v>37</v>
      </c>
      <c r="K32" s="225">
        <v>0.5</v>
      </c>
      <c r="L32" s="221"/>
      <c r="M32" s="221">
        <f t="shared" si="2"/>
      </c>
      <c r="N32" s="215"/>
      <c r="O32" s="220" t="str">
        <f>IF(RPA!C30="No Criteria","No Criteria","")</f>
        <v>No Criteria</v>
      </c>
    </row>
    <row r="33" spans="1:15" ht="12.75">
      <c r="A33" s="223">
        <v>25</v>
      </c>
      <c r="B33" s="224" t="s">
        <v>220</v>
      </c>
      <c r="C33" s="246" t="str">
        <f t="shared" si="0"/>
        <v>Y</v>
      </c>
      <c r="D33" s="226" t="s">
        <v>37</v>
      </c>
      <c r="E33">
        <v>0.5</v>
      </c>
      <c r="F33" s="299"/>
      <c r="G33" s="222">
        <f t="shared" si="1"/>
      </c>
      <c r="H33" s="215"/>
      <c r="I33" s="416" t="s">
        <v>37</v>
      </c>
      <c r="J33" s="225" t="s">
        <v>37</v>
      </c>
      <c r="K33" s="225">
        <v>0.5</v>
      </c>
      <c r="L33" s="221"/>
      <c r="M33" s="221">
        <f t="shared" si="2"/>
      </c>
      <c r="N33" s="215"/>
      <c r="O33" s="220" t="str">
        <f>IF(RPA!C31="No Criteria","No Criteria","")</f>
        <v>No Criteria</v>
      </c>
    </row>
    <row r="34" spans="1:15" ht="12.75">
      <c r="A34" s="223">
        <v>26</v>
      </c>
      <c r="B34" s="224" t="s">
        <v>105</v>
      </c>
      <c r="C34" s="246" t="str">
        <f t="shared" si="0"/>
        <v>Y</v>
      </c>
      <c r="D34" s="226" t="s">
        <v>208</v>
      </c>
      <c r="E34"/>
      <c r="F34" s="298">
        <v>0.9</v>
      </c>
      <c r="G34" s="222">
        <f t="shared" si="1"/>
      </c>
      <c r="H34" s="215"/>
      <c r="I34" s="416" t="s">
        <v>37</v>
      </c>
      <c r="J34" s="225" t="s">
        <v>37</v>
      </c>
      <c r="K34" s="225">
        <v>0.5</v>
      </c>
      <c r="L34" s="221"/>
      <c r="M34" s="221">
        <f t="shared" si="2"/>
      </c>
      <c r="N34" s="215"/>
      <c r="O34" s="220" t="str">
        <f>IF(RPA!C32="No Criteria","No Criteria","")</f>
        <v>No Criteria</v>
      </c>
    </row>
    <row r="35" spans="1:15" ht="12.75">
      <c r="A35" s="223">
        <v>27</v>
      </c>
      <c r="B35" s="224" t="s">
        <v>106</v>
      </c>
      <c r="C35" s="246" t="str">
        <f t="shared" si="0"/>
        <v>Y</v>
      </c>
      <c r="D35" s="226" t="s">
        <v>37</v>
      </c>
      <c r="E35">
        <v>0.5</v>
      </c>
      <c r="F35" s="298"/>
      <c r="G35" s="222">
        <f t="shared" si="1"/>
      </c>
      <c r="H35" s="215"/>
      <c r="I35" s="416" t="s">
        <v>37</v>
      </c>
      <c r="J35" s="225" t="s">
        <v>37</v>
      </c>
      <c r="K35" s="225">
        <v>0.05</v>
      </c>
      <c r="L35" s="221"/>
      <c r="M35" s="221">
        <f t="shared" si="2"/>
      </c>
      <c r="N35" s="215"/>
      <c r="O35" s="220">
        <f>IF(RPA!C33="No Criteria","No Criteria","")</f>
      </c>
    </row>
    <row r="36" spans="1:15" ht="12.75">
      <c r="A36" s="223">
        <v>28</v>
      </c>
      <c r="B36" s="224" t="s">
        <v>0</v>
      </c>
      <c r="C36" s="246" t="str">
        <f t="shared" si="0"/>
        <v>Y</v>
      </c>
      <c r="D36" s="226" t="s">
        <v>37</v>
      </c>
      <c r="E36">
        <v>0.5</v>
      </c>
      <c r="F36" s="299"/>
      <c r="G36" s="222">
        <f t="shared" si="1"/>
      </c>
      <c r="H36" s="215"/>
      <c r="I36" s="416" t="s">
        <v>37</v>
      </c>
      <c r="J36" s="225" t="s">
        <v>37</v>
      </c>
      <c r="K36" s="225">
        <v>0.05</v>
      </c>
      <c r="L36" s="221"/>
      <c r="M36" s="221">
        <f t="shared" si="2"/>
      </c>
      <c r="N36" s="215"/>
      <c r="O36" s="220" t="str">
        <f>IF(RPA!C34="No Criteria","No Criteria","")</f>
        <v>No Criteria</v>
      </c>
    </row>
    <row r="37" spans="1:15" ht="12.75">
      <c r="A37" s="223">
        <v>29</v>
      </c>
      <c r="B37" s="224" t="s">
        <v>1</v>
      </c>
      <c r="C37" s="246" t="str">
        <f t="shared" si="0"/>
        <v>Y</v>
      </c>
      <c r="D37" s="226" t="s">
        <v>37</v>
      </c>
      <c r="E37">
        <v>0.5</v>
      </c>
      <c r="F37" s="299"/>
      <c r="G37" s="222">
        <f t="shared" si="1"/>
      </c>
      <c r="H37" s="215"/>
      <c r="I37" s="416" t="s">
        <v>37</v>
      </c>
      <c r="J37" s="225" t="s">
        <v>208</v>
      </c>
      <c r="K37" s="225"/>
      <c r="L37" s="221">
        <v>0.04</v>
      </c>
      <c r="M37" s="221">
        <f t="shared" si="2"/>
      </c>
      <c r="N37" s="215"/>
      <c r="O37" s="220">
        <f>IF(RPA!C35="No Criteria","No Criteria","")</f>
      </c>
    </row>
    <row r="38" spans="1:15" ht="12.75">
      <c r="A38" s="223">
        <v>30</v>
      </c>
      <c r="B38" s="224" t="s">
        <v>2</v>
      </c>
      <c r="C38" s="246" t="str">
        <f t="shared" si="0"/>
        <v>Y</v>
      </c>
      <c r="D38" s="226" t="s">
        <v>37</v>
      </c>
      <c r="E38">
        <v>0.5</v>
      </c>
      <c r="F38" s="299"/>
      <c r="G38" s="222">
        <f t="shared" si="1"/>
      </c>
      <c r="H38" s="215"/>
      <c r="I38" s="416" t="s">
        <v>37</v>
      </c>
      <c r="J38" s="225" t="s">
        <v>37</v>
      </c>
      <c r="K38" s="225">
        <v>0.5</v>
      </c>
      <c r="L38" s="221"/>
      <c r="M38" s="221">
        <f t="shared" si="2"/>
      </c>
      <c r="N38" s="215"/>
      <c r="O38" s="220">
        <f>IF(RPA!C36="No Criteria","No Criteria","")</f>
      </c>
    </row>
    <row r="39" spans="1:15" ht="12.75">
      <c r="A39" s="223">
        <v>31</v>
      </c>
      <c r="B39" s="224" t="s">
        <v>3</v>
      </c>
      <c r="C39" s="246" t="str">
        <f t="shared" si="0"/>
        <v>Y</v>
      </c>
      <c r="D39" s="226" t="s">
        <v>37</v>
      </c>
      <c r="E39">
        <v>0.5</v>
      </c>
      <c r="F39" s="299"/>
      <c r="G39" s="222">
        <f t="shared" si="1"/>
      </c>
      <c r="H39" s="215"/>
      <c r="I39" s="416" t="s">
        <v>37</v>
      </c>
      <c r="J39" s="225" t="s">
        <v>37</v>
      </c>
      <c r="K39" s="225">
        <v>0.05</v>
      </c>
      <c r="L39" s="221"/>
      <c r="M39" s="221">
        <f t="shared" si="2"/>
      </c>
      <c r="N39" s="215"/>
      <c r="O39" s="220">
        <f>IF(RPA!C37="No Criteria","No Criteria","")</f>
      </c>
    </row>
    <row r="40" spans="1:15" ht="12.75">
      <c r="A40" s="223">
        <v>32</v>
      </c>
      <c r="B40" s="224" t="s">
        <v>4</v>
      </c>
      <c r="C40" s="246" t="str">
        <f t="shared" si="0"/>
        <v>Y</v>
      </c>
      <c r="D40" s="226" t="s">
        <v>37</v>
      </c>
      <c r="E40">
        <v>0.5</v>
      </c>
      <c r="F40" s="299"/>
      <c r="G40" s="222">
        <f t="shared" si="1"/>
      </c>
      <c r="H40" s="215"/>
      <c r="I40" s="416" t="s">
        <v>208</v>
      </c>
      <c r="J40" s="225"/>
      <c r="K40" s="225"/>
      <c r="L40" s="221"/>
      <c r="M40" s="221">
        <f t="shared" si="2"/>
      </c>
      <c r="N40" s="215"/>
      <c r="O40" s="220">
        <f>IF(RPA!C38="No Criteria","No Criteria","")</f>
      </c>
    </row>
    <row r="41" spans="1:15" ht="12.75">
      <c r="A41" s="223">
        <v>33</v>
      </c>
      <c r="B41" s="224" t="s">
        <v>5</v>
      </c>
      <c r="C41" s="246" t="str">
        <f t="shared" si="0"/>
        <v>Y</v>
      </c>
      <c r="D41" s="226" t="s">
        <v>37</v>
      </c>
      <c r="E41">
        <v>0.5</v>
      </c>
      <c r="F41" s="298"/>
      <c r="G41" s="222">
        <f t="shared" si="1"/>
      </c>
      <c r="H41" s="215"/>
      <c r="I41" s="416" t="s">
        <v>37</v>
      </c>
      <c r="J41" s="225" t="s">
        <v>37</v>
      </c>
      <c r="K41" s="225">
        <v>0.5</v>
      </c>
      <c r="L41" s="221"/>
      <c r="M41" s="221">
        <f t="shared" si="2"/>
      </c>
      <c r="N41" s="215"/>
      <c r="O41" s="220">
        <f>IF(RPA!C39="No Criteria","No Criteria","")</f>
      </c>
    </row>
    <row r="42" spans="1:15" ht="12.75">
      <c r="A42" s="223">
        <v>34</v>
      </c>
      <c r="B42" s="224" t="s">
        <v>6</v>
      </c>
      <c r="C42" s="246" t="str">
        <f t="shared" si="0"/>
        <v>Y</v>
      </c>
      <c r="D42" s="226" t="s">
        <v>37</v>
      </c>
      <c r="E42">
        <v>0.5</v>
      </c>
      <c r="F42" s="299"/>
      <c r="G42" s="222">
        <f t="shared" si="1"/>
      </c>
      <c r="H42" s="215"/>
      <c r="I42" s="416" t="s">
        <v>37</v>
      </c>
      <c r="J42" s="225" t="s">
        <v>37</v>
      </c>
      <c r="K42" s="225">
        <v>0.5</v>
      </c>
      <c r="L42" s="221"/>
      <c r="M42" s="221">
        <f t="shared" si="2"/>
      </c>
      <c r="N42" s="215"/>
      <c r="O42" s="220">
        <f>IF(RPA!C40="No Criteria","No Criteria","")</f>
      </c>
    </row>
    <row r="43" spans="1:15" ht="12.75">
      <c r="A43" s="223">
        <v>35</v>
      </c>
      <c r="B43" s="224" t="s">
        <v>7</v>
      </c>
      <c r="C43" s="246" t="str">
        <f t="shared" si="0"/>
        <v>Y</v>
      </c>
      <c r="D43" s="226" t="s">
        <v>37</v>
      </c>
      <c r="E43">
        <v>0.5</v>
      </c>
      <c r="F43" s="299"/>
      <c r="G43" s="222">
        <f t="shared" si="1"/>
      </c>
      <c r="H43" s="215"/>
      <c r="I43" s="416" t="s">
        <v>37</v>
      </c>
      <c r="J43" s="225" t="s">
        <v>37</v>
      </c>
      <c r="K43" s="225">
        <v>0.5</v>
      </c>
      <c r="L43" s="221"/>
      <c r="M43" s="221">
        <f t="shared" si="2"/>
      </c>
      <c r="N43" s="215"/>
      <c r="O43" s="220" t="str">
        <f>IF(RPA!C41="No Criteria","No Criteria","")</f>
        <v>No Criteria</v>
      </c>
    </row>
    <row r="44" spans="1:15" ht="12.75">
      <c r="A44" s="223">
        <v>36</v>
      </c>
      <c r="B44" s="224" t="s">
        <v>8</v>
      </c>
      <c r="C44" s="246" t="str">
        <f t="shared" si="0"/>
        <v>Y</v>
      </c>
      <c r="D44" s="226" t="s">
        <v>208</v>
      </c>
      <c r="E44"/>
      <c r="F44" s="299">
        <v>2</v>
      </c>
      <c r="G44" s="222">
        <f t="shared" si="1"/>
      </c>
      <c r="H44" s="215"/>
      <c r="I44" s="416" t="s">
        <v>37</v>
      </c>
      <c r="J44" s="225" t="s">
        <v>208</v>
      </c>
      <c r="K44" s="225"/>
      <c r="L44" s="221">
        <v>0.5</v>
      </c>
      <c r="M44" s="221">
        <f t="shared" si="2"/>
      </c>
      <c r="N44" s="215"/>
      <c r="O44" s="220">
        <f>IF(RPA!C42="No Criteria","No Criteria","")</f>
      </c>
    </row>
    <row r="45" spans="1:15" ht="12.75">
      <c r="A45" s="223">
        <v>37</v>
      </c>
      <c r="B45" s="224" t="s">
        <v>9</v>
      </c>
      <c r="C45" s="246" t="str">
        <f t="shared" si="0"/>
        <v>Y</v>
      </c>
      <c r="D45" s="226" t="s">
        <v>37</v>
      </c>
      <c r="E45">
        <v>0.5</v>
      </c>
      <c r="F45" s="299"/>
      <c r="G45" s="222">
        <f t="shared" si="1"/>
      </c>
      <c r="H45" s="215"/>
      <c r="I45" s="416" t="s">
        <v>37</v>
      </c>
      <c r="J45" s="225" t="s">
        <v>37</v>
      </c>
      <c r="K45" s="225">
        <v>0.05</v>
      </c>
      <c r="L45" s="221"/>
      <c r="M45" s="221">
        <f t="shared" si="2"/>
      </c>
      <c r="N45" s="215"/>
      <c r="O45" s="220">
        <f>IF(RPA!C43="No Criteria","No Criteria","")</f>
      </c>
    </row>
    <row r="46" spans="1:15" ht="12.75">
      <c r="A46" s="223">
        <v>38</v>
      </c>
      <c r="B46" s="224" t="s">
        <v>10</v>
      </c>
      <c r="C46" s="246" t="str">
        <f t="shared" si="0"/>
        <v>Y</v>
      </c>
      <c r="D46" s="226" t="s">
        <v>208</v>
      </c>
      <c r="E46"/>
      <c r="F46" s="299">
        <v>0.5</v>
      </c>
      <c r="G46" s="222">
        <f t="shared" si="1"/>
      </c>
      <c r="H46" s="215"/>
      <c r="I46" s="416" t="s">
        <v>37</v>
      </c>
      <c r="J46" s="225" t="s">
        <v>37</v>
      </c>
      <c r="K46" s="225">
        <v>0.05</v>
      </c>
      <c r="L46" s="221"/>
      <c r="M46" s="221">
        <f t="shared" si="2"/>
      </c>
      <c r="N46" s="215"/>
      <c r="O46" s="220">
        <f>IF(RPA!C44="No Criteria","No Criteria","")</f>
      </c>
    </row>
    <row r="47" spans="1:15" ht="12.75">
      <c r="A47" s="223">
        <v>39</v>
      </c>
      <c r="B47" s="224" t="s">
        <v>11</v>
      </c>
      <c r="C47" s="246" t="str">
        <f t="shared" si="0"/>
        <v>Y</v>
      </c>
      <c r="D47" s="226" t="s">
        <v>37</v>
      </c>
      <c r="E47">
        <v>0.5</v>
      </c>
      <c r="F47" s="299"/>
      <c r="G47" s="222">
        <f t="shared" si="1"/>
      </c>
      <c r="H47" s="215"/>
      <c r="I47" s="416" t="s">
        <v>37</v>
      </c>
      <c r="J47" s="225" t="s">
        <v>37</v>
      </c>
      <c r="K47" s="225">
        <v>0.3</v>
      </c>
      <c r="L47" s="221"/>
      <c r="M47" s="221">
        <f t="shared" si="2"/>
      </c>
      <c r="N47" s="215"/>
      <c r="O47" s="220">
        <f>IF(RPA!C45="No Criteria","No Criteria","")</f>
      </c>
    </row>
    <row r="48" spans="1:15" ht="12.75">
      <c r="A48" s="223">
        <v>40</v>
      </c>
      <c r="B48" s="224" t="s">
        <v>12</v>
      </c>
      <c r="C48" s="246" t="str">
        <f t="shared" si="0"/>
        <v>Y</v>
      </c>
      <c r="D48" s="226" t="s">
        <v>37</v>
      </c>
      <c r="E48">
        <v>0.5</v>
      </c>
      <c r="F48" s="299"/>
      <c r="G48" s="222">
        <f t="shared" si="1"/>
      </c>
      <c r="H48" s="215"/>
      <c r="I48" s="416" t="s">
        <v>37</v>
      </c>
      <c r="J48" s="225" t="s">
        <v>37</v>
      </c>
      <c r="K48" s="225">
        <v>0.5</v>
      </c>
      <c r="L48" s="221"/>
      <c r="M48" s="221">
        <f t="shared" si="2"/>
      </c>
      <c r="N48" s="215"/>
      <c r="O48" s="220">
        <f>IF(RPA!C46="No Criteria","No Criteria","")</f>
      </c>
    </row>
    <row r="49" spans="1:15" ht="12.75">
      <c r="A49" s="223">
        <v>41</v>
      </c>
      <c r="B49" s="224" t="s">
        <v>13</v>
      </c>
      <c r="C49" s="246" t="str">
        <f t="shared" si="0"/>
        <v>Y</v>
      </c>
      <c r="D49" s="226" t="s">
        <v>37</v>
      </c>
      <c r="E49">
        <v>0.5</v>
      </c>
      <c r="F49" s="299"/>
      <c r="G49" s="222">
        <f t="shared" si="1"/>
      </c>
      <c r="H49" s="215"/>
      <c r="I49" s="416" t="s">
        <v>37</v>
      </c>
      <c r="J49" s="225" t="s">
        <v>37</v>
      </c>
      <c r="K49" s="225">
        <v>0.5</v>
      </c>
      <c r="L49" s="221"/>
      <c r="M49" s="221">
        <f t="shared" si="2"/>
      </c>
      <c r="N49" s="215"/>
      <c r="O49" s="220" t="str">
        <f>IF(RPA!C47="No Criteria","No Criteria","")</f>
        <v>No Criteria</v>
      </c>
    </row>
    <row r="50" spans="1:15" ht="12.75">
      <c r="A50" s="223">
        <v>42</v>
      </c>
      <c r="B50" s="224" t="s">
        <v>14</v>
      </c>
      <c r="C50" s="246" t="s">
        <v>37</v>
      </c>
      <c r="D50" s="226" t="s">
        <v>37</v>
      </c>
      <c r="E50">
        <v>0.5</v>
      </c>
      <c r="F50" s="299"/>
      <c r="G50" s="222">
        <f t="shared" si="1"/>
      </c>
      <c r="H50" s="215"/>
      <c r="I50" s="416" t="s">
        <v>37</v>
      </c>
      <c r="J50" s="225" t="s">
        <v>37</v>
      </c>
      <c r="K50" s="225">
        <v>0.05</v>
      </c>
      <c r="L50" s="221"/>
      <c r="M50" s="221">
        <f t="shared" si="2"/>
      </c>
      <c r="N50" s="215"/>
      <c r="O50" s="220">
        <f>IF(RPA!C48="No Criteria","No Criteria","")</f>
      </c>
    </row>
    <row r="51" spans="1:15" ht="12.75">
      <c r="A51" s="223">
        <v>43</v>
      </c>
      <c r="B51" s="224" t="s">
        <v>15</v>
      </c>
      <c r="C51" s="246" t="str">
        <f t="shared" si="0"/>
        <v>Y</v>
      </c>
      <c r="D51" s="226" t="s">
        <v>37</v>
      </c>
      <c r="E51">
        <v>0.5</v>
      </c>
      <c r="F51" s="299"/>
      <c r="G51" s="222">
        <f t="shared" si="1"/>
      </c>
      <c r="H51" s="215"/>
      <c r="I51" s="416" t="s">
        <v>37</v>
      </c>
      <c r="J51" s="225" t="s">
        <v>37</v>
      </c>
      <c r="K51" s="225">
        <v>0.5</v>
      </c>
      <c r="L51" s="221"/>
      <c r="M51" s="221">
        <f t="shared" si="2"/>
      </c>
      <c r="N51" s="215"/>
      <c r="O51" s="220">
        <f>IF(RPA!C49="No Criteria","No Criteria","")</f>
      </c>
    </row>
    <row r="52" spans="1:15" ht="12.75">
      <c r="A52" s="223">
        <v>44</v>
      </c>
      <c r="B52" s="224" t="s">
        <v>16</v>
      </c>
      <c r="C52" s="246" t="str">
        <f t="shared" si="0"/>
        <v>Y</v>
      </c>
      <c r="D52" s="226" t="s">
        <v>37</v>
      </c>
      <c r="E52">
        <v>0.5</v>
      </c>
      <c r="F52" s="299"/>
      <c r="G52" s="222">
        <f t="shared" si="1"/>
      </c>
      <c r="H52" s="215"/>
      <c r="I52" s="416" t="s">
        <v>37</v>
      </c>
      <c r="J52" s="225" t="s">
        <v>37</v>
      </c>
      <c r="K52" s="225">
        <v>0.5</v>
      </c>
      <c r="L52" s="221"/>
      <c r="M52" s="221">
        <f t="shared" si="2"/>
      </c>
      <c r="N52" s="215"/>
      <c r="O52" s="220">
        <f>IF(RPA!C50="No Criteria","No Criteria","")</f>
      </c>
    </row>
    <row r="53" spans="1:15" ht="12.75">
      <c r="A53" s="223">
        <v>45</v>
      </c>
      <c r="B53" s="224" t="s">
        <v>221</v>
      </c>
      <c r="C53" s="246" t="str">
        <f t="shared" si="0"/>
        <v>Y</v>
      </c>
      <c r="D53" s="226" t="s">
        <v>37</v>
      </c>
      <c r="E53">
        <v>2</v>
      </c>
      <c r="F53" s="299"/>
      <c r="G53" s="222">
        <f t="shared" si="1"/>
      </c>
      <c r="H53" s="215"/>
      <c r="I53" s="416" t="s">
        <v>37</v>
      </c>
      <c r="J53" s="225" t="s">
        <v>37</v>
      </c>
      <c r="K53" s="225">
        <v>1.2</v>
      </c>
      <c r="L53" s="221"/>
      <c r="M53" s="221">
        <f t="shared" si="2"/>
      </c>
      <c r="N53" s="215"/>
      <c r="O53" s="220">
        <f>IF(RPA!C51="No Criteria","No Criteria","")</f>
      </c>
    </row>
    <row r="54" spans="1:15" ht="12.75">
      <c r="A54" s="223">
        <v>46</v>
      </c>
      <c r="B54" s="224" t="s">
        <v>18</v>
      </c>
      <c r="C54" s="246" t="str">
        <f t="shared" si="0"/>
        <v>Y</v>
      </c>
      <c r="D54" s="226" t="s">
        <v>37</v>
      </c>
      <c r="E54">
        <v>1</v>
      </c>
      <c r="F54" s="299"/>
      <c r="G54" s="222">
        <f t="shared" si="1"/>
      </c>
      <c r="H54" s="215"/>
      <c r="I54" s="416" t="s">
        <v>37</v>
      </c>
      <c r="J54" s="225" t="s">
        <v>37</v>
      </c>
      <c r="K54" s="225">
        <v>1.3</v>
      </c>
      <c r="L54" s="221"/>
      <c r="M54" s="221">
        <f t="shared" si="2"/>
      </c>
      <c r="N54" s="215"/>
      <c r="O54" s="220">
        <f>IF(RPA!C52="No Criteria","No Criteria","")</f>
      </c>
    </row>
    <row r="55" spans="1:15" ht="12.75">
      <c r="A55" s="223">
        <v>47</v>
      </c>
      <c r="B55" s="224" t="s">
        <v>19</v>
      </c>
      <c r="C55" s="246" t="str">
        <f t="shared" si="0"/>
        <v>Y</v>
      </c>
      <c r="D55" s="226" t="s">
        <v>37</v>
      </c>
      <c r="E55">
        <v>2</v>
      </c>
      <c r="F55" s="299"/>
      <c r="G55" s="222">
        <f t="shared" si="1"/>
      </c>
      <c r="H55" s="215"/>
      <c r="I55" s="416" t="s">
        <v>37</v>
      </c>
      <c r="J55" s="225" t="s">
        <v>37</v>
      </c>
      <c r="K55" s="225">
        <v>1.3</v>
      </c>
      <c r="L55" s="221"/>
      <c r="M55" s="221">
        <f t="shared" si="2"/>
      </c>
      <c r="N55" s="215"/>
      <c r="O55" s="220">
        <f>IF(RPA!C53="No Criteria","No Criteria","")</f>
      </c>
    </row>
    <row r="56" spans="1:15" ht="12.75">
      <c r="A56" s="223">
        <v>48</v>
      </c>
      <c r="B56" s="224" t="s">
        <v>222</v>
      </c>
      <c r="C56" s="246" t="str">
        <f t="shared" si="0"/>
        <v>Y</v>
      </c>
      <c r="D56" s="226" t="s">
        <v>37</v>
      </c>
      <c r="E56">
        <v>5</v>
      </c>
      <c r="F56" s="299"/>
      <c r="G56" s="222">
        <f t="shared" si="1"/>
      </c>
      <c r="H56" s="215"/>
      <c r="I56" s="416" t="s">
        <v>37</v>
      </c>
      <c r="J56" s="226" t="s">
        <v>37</v>
      </c>
      <c r="K56" s="226">
        <v>1.2</v>
      </c>
      <c r="L56" s="221"/>
      <c r="M56" s="221">
        <f t="shared" si="2"/>
      </c>
      <c r="N56" s="215"/>
      <c r="O56" s="220">
        <f>IF(RPA!C54="No Criteria","No Criteria","")</f>
      </c>
    </row>
    <row r="57" spans="1:15" ht="12.75">
      <c r="A57" s="223">
        <v>49</v>
      </c>
      <c r="B57" s="224" t="s">
        <v>112</v>
      </c>
      <c r="C57" s="246" t="str">
        <f t="shared" si="0"/>
        <v>Y</v>
      </c>
      <c r="D57" s="226" t="s">
        <v>37</v>
      </c>
      <c r="E57">
        <v>5</v>
      </c>
      <c r="F57" s="299"/>
      <c r="G57" s="222">
        <f t="shared" si="1"/>
      </c>
      <c r="H57" s="215"/>
      <c r="I57" s="416" t="s">
        <v>37</v>
      </c>
      <c r="J57" s="225" t="s">
        <v>37</v>
      </c>
      <c r="K57" s="225">
        <v>0.7</v>
      </c>
      <c r="L57" s="221"/>
      <c r="M57" s="221">
        <f t="shared" si="2"/>
      </c>
      <c r="N57" s="215"/>
      <c r="O57" s="220">
        <f>IF(RPA!C55="No Criteria","No Criteria","")</f>
      </c>
    </row>
    <row r="58" spans="1:15" ht="12.75">
      <c r="A58" s="223">
        <v>50</v>
      </c>
      <c r="B58" s="224" t="s">
        <v>113</v>
      </c>
      <c r="C58" s="246" t="str">
        <f t="shared" si="0"/>
        <v>Y</v>
      </c>
      <c r="D58" s="226" t="s">
        <v>37</v>
      </c>
      <c r="E58">
        <v>5</v>
      </c>
      <c r="F58" s="299"/>
      <c r="G58" s="222">
        <f t="shared" si="1"/>
      </c>
      <c r="H58" s="215"/>
      <c r="I58" s="416" t="s">
        <v>37</v>
      </c>
      <c r="J58" s="225" t="s">
        <v>37</v>
      </c>
      <c r="K58" s="225">
        <v>1.3</v>
      </c>
      <c r="L58" s="221"/>
      <c r="M58" s="221">
        <f t="shared" si="2"/>
      </c>
      <c r="N58" s="215"/>
      <c r="O58" s="220" t="str">
        <f>IF(RPA!C56="No Criteria","No Criteria","")</f>
        <v>No Criteria</v>
      </c>
    </row>
    <row r="59" spans="1:15" ht="12.75">
      <c r="A59" s="223">
        <v>51</v>
      </c>
      <c r="B59" s="224" t="s">
        <v>114</v>
      </c>
      <c r="C59" s="246" t="str">
        <f t="shared" si="0"/>
        <v>Y</v>
      </c>
      <c r="D59" s="226" t="s">
        <v>37</v>
      </c>
      <c r="E59">
        <v>5</v>
      </c>
      <c r="F59" s="299"/>
      <c r="G59" s="222">
        <f t="shared" si="1"/>
      </c>
      <c r="H59" s="215"/>
      <c r="I59" s="416" t="s">
        <v>37</v>
      </c>
      <c r="J59" s="225" t="s">
        <v>37</v>
      </c>
      <c r="K59" s="225">
        <v>1.6</v>
      </c>
      <c r="L59" s="221"/>
      <c r="M59" s="221">
        <f t="shared" si="2"/>
      </c>
      <c r="N59" s="215"/>
      <c r="O59" s="220" t="str">
        <f>IF(RPA!C57="No Criteria","No Criteria","")</f>
        <v>No Criteria</v>
      </c>
    </row>
    <row r="60" spans="1:15" ht="12.75">
      <c r="A60" s="223">
        <v>52</v>
      </c>
      <c r="B60" s="224" t="s">
        <v>223</v>
      </c>
      <c r="C60" s="246" t="str">
        <f t="shared" si="0"/>
        <v>Y</v>
      </c>
      <c r="D60" s="226" t="s">
        <v>37</v>
      </c>
      <c r="E60" s="170">
        <v>1</v>
      </c>
      <c r="F60" s="299"/>
      <c r="G60" s="222">
        <f t="shared" si="1"/>
      </c>
      <c r="H60" s="215"/>
      <c r="I60" s="416" t="s">
        <v>37</v>
      </c>
      <c r="J60" s="226" t="s">
        <v>37</v>
      </c>
      <c r="K60" s="226">
        <v>1.1</v>
      </c>
      <c r="L60" s="221"/>
      <c r="M60" s="221">
        <f t="shared" si="2"/>
      </c>
      <c r="N60" s="215"/>
      <c r="O60" s="220" t="str">
        <f>IF(RPA!C58="No Criteria","No Criteria","")</f>
        <v>No Criteria</v>
      </c>
    </row>
    <row r="61" spans="1:15" ht="12.75">
      <c r="A61" s="223">
        <v>53</v>
      </c>
      <c r="B61" s="224" t="s">
        <v>116</v>
      </c>
      <c r="C61" s="246" t="str">
        <f t="shared" si="0"/>
        <v>Y</v>
      </c>
      <c r="D61" s="226" t="s">
        <v>37</v>
      </c>
      <c r="E61">
        <v>1</v>
      </c>
      <c r="F61" s="299"/>
      <c r="G61" s="222">
        <f t="shared" si="1"/>
      </c>
      <c r="H61" s="215"/>
      <c r="I61" s="416" t="s">
        <v>37</v>
      </c>
      <c r="J61" s="225" t="s">
        <v>37</v>
      </c>
      <c r="K61" s="225">
        <v>1</v>
      </c>
      <c r="L61" s="221"/>
      <c r="M61" s="221">
        <f t="shared" si="2"/>
      </c>
      <c r="N61" s="215"/>
      <c r="O61" s="220">
        <f>IF(RPA!C59="No Criteria","No Criteria","")</f>
      </c>
    </row>
    <row r="62" spans="1:15" ht="12.75">
      <c r="A62" s="223">
        <v>54</v>
      </c>
      <c r="B62" s="224" t="s">
        <v>117</v>
      </c>
      <c r="C62" s="246" t="str">
        <f t="shared" si="0"/>
        <v>Y</v>
      </c>
      <c r="D62" s="226" t="s">
        <v>37</v>
      </c>
      <c r="E62">
        <v>1</v>
      </c>
      <c r="F62" s="298"/>
      <c r="G62" s="222">
        <f t="shared" si="1"/>
      </c>
      <c r="H62" s="215"/>
      <c r="I62" s="416" t="s">
        <v>37</v>
      </c>
      <c r="J62" s="225" t="s">
        <v>37</v>
      </c>
      <c r="K62" s="225">
        <v>1.3</v>
      </c>
      <c r="L62" s="221"/>
      <c r="M62" s="221">
        <f t="shared" si="2"/>
      </c>
      <c r="N62" s="215"/>
      <c r="O62" s="220">
        <f>IF(RPA!C60="No Criteria","No Criteria","")</f>
      </c>
    </row>
    <row r="63" spans="1:15" ht="12.75">
      <c r="A63" s="223">
        <v>55</v>
      </c>
      <c r="B63" s="224" t="s">
        <v>118</v>
      </c>
      <c r="C63" s="246" t="str">
        <f t="shared" si="0"/>
        <v>Y</v>
      </c>
      <c r="D63" s="226" t="s">
        <v>208</v>
      </c>
      <c r="E63"/>
      <c r="F63" s="299">
        <v>5</v>
      </c>
      <c r="G63" s="222">
        <f t="shared" si="1"/>
      </c>
      <c r="H63" s="215"/>
      <c r="I63" s="416" t="s">
        <v>37</v>
      </c>
      <c r="J63" s="225" t="s">
        <v>37</v>
      </c>
      <c r="K63" s="225">
        <v>1.3</v>
      </c>
      <c r="L63" s="221"/>
      <c r="M63" s="221">
        <f t="shared" si="2"/>
      </c>
      <c r="N63" s="215"/>
      <c r="O63" s="220">
        <f>IF(RPA!C61="No Criteria","No Criteria","")</f>
      </c>
    </row>
    <row r="64" spans="1:15" ht="12.75">
      <c r="A64" s="223">
        <v>56</v>
      </c>
      <c r="B64" s="224" t="s">
        <v>119</v>
      </c>
      <c r="C64" s="246" t="str">
        <f t="shared" si="0"/>
        <v>Y</v>
      </c>
      <c r="D64" s="226" t="s">
        <v>37</v>
      </c>
      <c r="E64">
        <v>0.3</v>
      </c>
      <c r="F64" s="298"/>
      <c r="G64" s="222">
        <f t="shared" si="1"/>
      </c>
      <c r="H64" s="215"/>
      <c r="I64" s="416" t="s">
        <v>37</v>
      </c>
      <c r="J64" s="225" t="s">
        <v>208</v>
      </c>
      <c r="K64" s="225"/>
      <c r="L64" s="221">
        <v>0.0015</v>
      </c>
      <c r="M64" s="221">
        <f t="shared" si="2"/>
      </c>
      <c r="N64" s="215"/>
      <c r="O64" s="220">
        <f>IF(RPA!C62="No Criteria","No Criteria","")</f>
      </c>
    </row>
    <row r="65" spans="1:15" ht="12.75">
      <c r="A65" s="223">
        <v>57</v>
      </c>
      <c r="B65" s="224" t="s">
        <v>224</v>
      </c>
      <c r="C65" s="246" t="str">
        <f t="shared" si="0"/>
        <v>Y</v>
      </c>
      <c r="D65" s="226" t="s">
        <v>37</v>
      </c>
      <c r="E65">
        <v>0.2</v>
      </c>
      <c r="F65" s="299"/>
      <c r="G65" s="222">
        <f t="shared" si="1"/>
      </c>
      <c r="H65" s="215"/>
      <c r="I65" s="416" t="s">
        <v>37</v>
      </c>
      <c r="J65" s="225" t="s">
        <v>208</v>
      </c>
      <c r="K65" s="225"/>
      <c r="L65" s="221">
        <v>0.00053</v>
      </c>
      <c r="M65" s="221">
        <f t="shared" si="2"/>
      </c>
      <c r="N65" s="215"/>
      <c r="O65" s="220" t="str">
        <f>IF(RPA!C63="No Criteria","No Criteria","")</f>
        <v>No Criteria</v>
      </c>
    </row>
    <row r="66" spans="1:15" ht="12.75">
      <c r="A66" s="223">
        <v>58</v>
      </c>
      <c r="B66" s="224" t="s">
        <v>121</v>
      </c>
      <c r="C66" s="246" t="str">
        <f t="shared" si="0"/>
        <v>Y</v>
      </c>
      <c r="D66" s="226" t="s">
        <v>37</v>
      </c>
      <c r="E66">
        <v>0.3</v>
      </c>
      <c r="F66" s="299"/>
      <c r="G66" s="222">
        <f t="shared" si="1"/>
      </c>
      <c r="H66" s="215"/>
      <c r="I66" s="416" t="s">
        <v>37</v>
      </c>
      <c r="J66" s="225" t="s">
        <v>208</v>
      </c>
      <c r="K66" s="225"/>
      <c r="L66" s="221">
        <v>0.0005</v>
      </c>
      <c r="M66" s="221">
        <f t="shared" si="2"/>
      </c>
      <c r="N66" s="215"/>
      <c r="O66" s="220">
        <f>IF(RPA!C64="No Criteria","No Criteria","")</f>
      </c>
    </row>
    <row r="67" spans="1:15" ht="12.75">
      <c r="A67" s="223">
        <v>59</v>
      </c>
      <c r="B67" s="224" t="s">
        <v>122</v>
      </c>
      <c r="C67" s="246" t="str">
        <f t="shared" si="0"/>
        <v>Y</v>
      </c>
      <c r="D67" s="226" t="s">
        <v>37</v>
      </c>
      <c r="E67">
        <v>5</v>
      </c>
      <c r="F67" s="299"/>
      <c r="G67" s="222">
        <f t="shared" si="1"/>
      </c>
      <c r="H67" s="215"/>
      <c r="I67" s="416" t="s">
        <v>37</v>
      </c>
      <c r="J67" s="226" t="s">
        <v>37</v>
      </c>
      <c r="K67" s="226">
        <v>0.0015</v>
      </c>
      <c r="L67" s="221"/>
      <c r="M67" s="221">
        <f t="shared" si="2"/>
      </c>
      <c r="N67" s="215"/>
      <c r="O67" s="220">
        <f>IF(RPA!C65="No Criteria","No Criteria","")</f>
      </c>
    </row>
    <row r="68" spans="1:15" ht="12.75">
      <c r="A68" s="223">
        <v>60</v>
      </c>
      <c r="B68" s="224" t="s">
        <v>123</v>
      </c>
      <c r="C68" s="246" t="str">
        <f t="shared" si="0"/>
        <v>Y</v>
      </c>
      <c r="D68" s="226" t="s">
        <v>37</v>
      </c>
      <c r="E68">
        <v>0.1</v>
      </c>
      <c r="F68" s="299"/>
      <c r="G68" s="222">
        <f t="shared" si="1"/>
      </c>
      <c r="H68" s="215"/>
      <c r="I68" s="416" t="s">
        <v>37</v>
      </c>
      <c r="J68" s="225" t="s">
        <v>208</v>
      </c>
      <c r="K68" s="225"/>
      <c r="L68" s="221">
        <v>0.0053</v>
      </c>
      <c r="M68" s="221">
        <f t="shared" si="2"/>
      </c>
      <c r="N68" s="215"/>
      <c r="O68" s="220">
        <f>IF(RPA!C66="No Criteria","No Criteria","")</f>
      </c>
    </row>
    <row r="69" spans="1:15" ht="12.75">
      <c r="A69" s="223">
        <v>61</v>
      </c>
      <c r="B69" s="224" t="s">
        <v>124</v>
      </c>
      <c r="C69" s="246" t="str">
        <f t="shared" si="0"/>
        <v>Y</v>
      </c>
      <c r="D69" s="226" t="s">
        <v>37</v>
      </c>
      <c r="E69">
        <v>0.3</v>
      </c>
      <c r="F69" s="299"/>
      <c r="G69" s="222">
        <f t="shared" si="1"/>
      </c>
      <c r="H69" s="215"/>
      <c r="I69" s="416" t="s">
        <v>37</v>
      </c>
      <c r="J69" s="225" t="s">
        <v>208</v>
      </c>
      <c r="K69" s="225"/>
      <c r="L69" s="221">
        <v>0.00029</v>
      </c>
      <c r="M69" s="221">
        <f t="shared" si="2"/>
      </c>
      <c r="N69" s="215"/>
      <c r="O69" s="220">
        <f>IF(RPA!C67="No Criteria","No Criteria","")</f>
      </c>
    </row>
    <row r="70" spans="1:15" ht="12.75">
      <c r="A70" s="223">
        <v>62</v>
      </c>
      <c r="B70" s="224" t="s">
        <v>125</v>
      </c>
      <c r="C70" s="246" t="str">
        <f t="shared" si="0"/>
        <v>Y</v>
      </c>
      <c r="D70" s="226" t="s">
        <v>37</v>
      </c>
      <c r="E70">
        <v>0.3</v>
      </c>
      <c r="F70" s="299"/>
      <c r="G70" s="222">
        <f t="shared" si="1"/>
      </c>
      <c r="H70" s="215"/>
      <c r="I70" s="416" t="s">
        <v>37</v>
      </c>
      <c r="J70" s="225" t="s">
        <v>208</v>
      </c>
      <c r="K70" s="226"/>
      <c r="L70" s="221">
        <v>0.0046</v>
      </c>
      <c r="M70" s="221">
        <f t="shared" si="2"/>
      </c>
      <c r="N70" s="215"/>
      <c r="O70" s="220">
        <f>IF(RPA!C68="No Criteria","No Criteria","")</f>
      </c>
    </row>
    <row r="71" spans="1:15" ht="12.75">
      <c r="A71" s="223">
        <v>63</v>
      </c>
      <c r="B71" s="224" t="s">
        <v>126</v>
      </c>
      <c r="C71" s="246" t="str">
        <f t="shared" si="0"/>
        <v>Y</v>
      </c>
      <c r="D71" s="226" t="s">
        <v>37</v>
      </c>
      <c r="E71">
        <v>0.3</v>
      </c>
      <c r="F71" s="299"/>
      <c r="G71" s="222">
        <f t="shared" si="1"/>
      </c>
      <c r="H71" s="215"/>
      <c r="I71" s="416" t="s">
        <v>37</v>
      </c>
      <c r="J71" s="225" t="s">
        <v>208</v>
      </c>
      <c r="K71" s="225"/>
      <c r="L71" s="221">
        <v>0.0027</v>
      </c>
      <c r="M71" s="221">
        <f t="shared" si="2"/>
      </c>
      <c r="N71" s="215"/>
      <c r="O71" s="220" t="str">
        <f>IF(RPA!C69="No Criteria","No Criteria","")</f>
        <v>No Criteria</v>
      </c>
    </row>
    <row r="72" spans="1:15" ht="12.75">
      <c r="A72" s="223">
        <v>64</v>
      </c>
      <c r="B72" s="224" t="s">
        <v>127</v>
      </c>
      <c r="C72" s="246" t="str">
        <f aca="true" t="shared" si="3" ref="C72:C129">IF(F72&gt;0,"Y",IF(E72&gt;0,"Y",""))</f>
        <v>Y</v>
      </c>
      <c r="D72" s="226" t="s">
        <v>37</v>
      </c>
      <c r="E72">
        <v>0.3</v>
      </c>
      <c r="F72" s="299"/>
      <c r="G72" s="222">
        <f t="shared" si="1"/>
      </c>
      <c r="H72" s="215"/>
      <c r="I72" s="416" t="s">
        <v>37</v>
      </c>
      <c r="J72" s="225" t="s">
        <v>208</v>
      </c>
      <c r="K72" s="225"/>
      <c r="L72" s="226">
        <v>0.0015</v>
      </c>
      <c r="M72" s="221">
        <f t="shared" si="2"/>
      </c>
      <c r="N72" s="215"/>
      <c r="O72" s="220">
        <f>IF(RPA!C70="No Criteria","No Criteria","")</f>
      </c>
    </row>
    <row r="73" spans="1:15" ht="12.75">
      <c r="A73" s="223">
        <v>65</v>
      </c>
      <c r="B73" s="224" t="s">
        <v>128</v>
      </c>
      <c r="C73" s="246" t="str">
        <f t="shared" si="3"/>
        <v>Y</v>
      </c>
      <c r="D73" s="226" t="s">
        <v>37</v>
      </c>
      <c r="E73">
        <v>2</v>
      </c>
      <c r="F73" s="299"/>
      <c r="G73" s="222">
        <f aca="true" t="shared" si="4" ref="G73:G130">IF(C73="","Check input",IF(C73="Y",IF(D73="","Check input",IF(D73="Y",IF(E73="","Check input",IF(F73="","","Check input")),IF(E73="",IF(F73="","Check input",""),"Check input"))),IF(D73="",IF(E73="",IF(F73="","","Check input"),"Check input"),"Check input")))</f>
      </c>
      <c r="H73" s="215"/>
      <c r="I73" s="416" t="s">
        <v>37</v>
      </c>
      <c r="J73" s="225" t="s">
        <v>37</v>
      </c>
      <c r="K73" s="225">
        <v>0.3</v>
      </c>
      <c r="L73" s="241"/>
      <c r="M73" s="221">
        <f aca="true" t="shared" si="5" ref="M73:M129">IF(I73="","Check input",IF(I73="Y",IF(J73="","Check input",IF(J73="Y",IF(K73="","Check input",IF(L73="","","Check input")),IF(K73="",IF(L73="","Check input",""),"Check input"))),IF(J73="",IF(K73="",IF(L73="","","Check input"),"Check input"),"Check input")))</f>
      </c>
      <c r="N73" s="215"/>
      <c r="O73" s="220" t="str">
        <f>IF(RPA!C71="No Criteria","No Criteria","")</f>
        <v>No Criteria</v>
      </c>
    </row>
    <row r="74" spans="1:15" ht="12.75">
      <c r="A74" s="223">
        <v>66</v>
      </c>
      <c r="B74" s="224" t="s">
        <v>129</v>
      </c>
      <c r="C74" s="246" t="str">
        <f t="shared" si="3"/>
        <v>Y</v>
      </c>
      <c r="D74" s="226" t="s">
        <v>37</v>
      </c>
      <c r="E74">
        <v>1</v>
      </c>
      <c r="F74" s="299"/>
      <c r="G74" s="222">
        <f t="shared" si="4"/>
      </c>
      <c r="H74" s="215"/>
      <c r="I74" s="416" t="s">
        <v>37</v>
      </c>
      <c r="J74" s="225" t="s">
        <v>37</v>
      </c>
      <c r="K74" s="225">
        <v>0.3</v>
      </c>
      <c r="L74" s="241"/>
      <c r="M74" s="221">
        <f t="shared" si="5"/>
      </c>
      <c r="N74" s="215"/>
      <c r="O74" s="220">
        <f>IF(RPA!C72="No Criteria","No Criteria","")</f>
      </c>
    </row>
    <row r="75" spans="1:15" ht="12.75">
      <c r="A75" s="223">
        <v>67</v>
      </c>
      <c r="B75" s="224" t="s">
        <v>130</v>
      </c>
      <c r="C75" s="246" t="str">
        <f t="shared" si="3"/>
        <v>Y</v>
      </c>
      <c r="D75" s="226" t="s">
        <v>37</v>
      </c>
      <c r="E75">
        <v>2</v>
      </c>
      <c r="F75" s="299"/>
      <c r="G75" s="222">
        <f t="shared" si="4"/>
      </c>
      <c r="H75" s="215"/>
      <c r="I75" s="416" t="s">
        <v>208</v>
      </c>
      <c r="J75" s="225"/>
      <c r="K75" s="225"/>
      <c r="L75" s="241"/>
      <c r="M75" s="221">
        <f t="shared" si="5"/>
      </c>
      <c r="N75" s="215"/>
      <c r="O75" s="220">
        <f>IF(RPA!C73="No Criteria","No Criteria","")</f>
      </c>
    </row>
    <row r="76" spans="1:15" ht="12.75">
      <c r="A76" s="223">
        <v>68</v>
      </c>
      <c r="B76" s="224" t="s">
        <v>131</v>
      </c>
      <c r="C76" s="246" t="str">
        <f t="shared" si="3"/>
        <v>Y</v>
      </c>
      <c r="D76" s="226" t="s">
        <v>37</v>
      </c>
      <c r="E76">
        <v>1</v>
      </c>
      <c r="F76" s="299"/>
      <c r="G76" s="222">
        <f t="shared" si="4"/>
      </c>
      <c r="H76" s="215"/>
      <c r="I76" s="416" t="s">
        <v>37</v>
      </c>
      <c r="J76" s="225" t="s">
        <v>37</v>
      </c>
      <c r="K76" s="225">
        <v>0.5</v>
      </c>
      <c r="L76" s="242"/>
      <c r="M76" s="221">
        <f t="shared" si="5"/>
      </c>
      <c r="N76" s="215"/>
      <c r="O76" s="220">
        <f>IF(RPA!C74="No Criteria","No Criteria","")</f>
      </c>
    </row>
    <row r="77" spans="1:15" ht="12.75">
      <c r="A77" s="223">
        <v>69</v>
      </c>
      <c r="B77" s="224" t="s">
        <v>132</v>
      </c>
      <c r="C77" s="246" t="str">
        <f t="shared" si="3"/>
        <v>Y</v>
      </c>
      <c r="D77" s="226" t="s">
        <v>37</v>
      </c>
      <c r="E77">
        <v>5</v>
      </c>
      <c r="F77" s="299"/>
      <c r="G77" s="222">
        <f t="shared" si="4"/>
      </c>
      <c r="H77" s="215"/>
      <c r="I77" s="416" t="s">
        <v>37</v>
      </c>
      <c r="J77" s="225" t="s">
        <v>37</v>
      </c>
      <c r="K77" s="225">
        <v>0.23</v>
      </c>
      <c r="L77" s="241"/>
      <c r="M77" s="221">
        <f t="shared" si="5"/>
      </c>
      <c r="N77" s="215"/>
      <c r="O77" s="220" t="str">
        <f>IF(RPA!C75="No Criteria","No Criteria","")</f>
        <v>No Criteria</v>
      </c>
    </row>
    <row r="78" spans="1:15" ht="12.75">
      <c r="A78" s="223">
        <v>70</v>
      </c>
      <c r="B78" s="224" t="s">
        <v>133</v>
      </c>
      <c r="C78" s="246" t="str">
        <f t="shared" si="3"/>
        <v>Y</v>
      </c>
      <c r="D78" s="226" t="s">
        <v>37</v>
      </c>
      <c r="E78">
        <v>2</v>
      </c>
      <c r="F78" s="299"/>
      <c r="G78" s="222">
        <f t="shared" si="4"/>
      </c>
      <c r="H78" s="215"/>
      <c r="I78" s="416" t="s">
        <v>37</v>
      </c>
      <c r="J78" s="225" t="s">
        <v>37</v>
      </c>
      <c r="K78" s="225">
        <v>0.52</v>
      </c>
      <c r="L78" s="241"/>
      <c r="M78" s="221">
        <f t="shared" si="5"/>
      </c>
      <c r="N78" s="215"/>
      <c r="O78" s="220">
        <f>IF(RPA!C76="No Criteria","No Criteria","")</f>
      </c>
    </row>
    <row r="79" spans="1:15" ht="12.75">
      <c r="A79" s="223">
        <v>71</v>
      </c>
      <c r="B79" s="224" t="s">
        <v>134</v>
      </c>
      <c r="C79" s="246" t="str">
        <f t="shared" si="3"/>
        <v>Y</v>
      </c>
      <c r="D79" s="226" t="s">
        <v>37</v>
      </c>
      <c r="E79">
        <v>2</v>
      </c>
      <c r="F79" s="299"/>
      <c r="G79" s="222">
        <f t="shared" si="4"/>
      </c>
      <c r="H79" s="215"/>
      <c r="I79" s="416" t="s">
        <v>37</v>
      </c>
      <c r="J79" s="225" t="s">
        <v>37</v>
      </c>
      <c r="K79" s="225">
        <v>0.3</v>
      </c>
      <c r="L79" s="241"/>
      <c r="M79" s="221">
        <f t="shared" si="5"/>
      </c>
      <c r="N79" s="215"/>
      <c r="O79" s="220">
        <f>IF(RPA!C77="No Criteria","No Criteria","")</f>
      </c>
    </row>
    <row r="80" spans="1:15" ht="12.75">
      <c r="A80" s="223">
        <v>72</v>
      </c>
      <c r="B80" s="224" t="s">
        <v>135</v>
      </c>
      <c r="C80" s="246" t="str">
        <f t="shared" si="3"/>
        <v>Y</v>
      </c>
      <c r="D80" s="226" t="s">
        <v>37</v>
      </c>
      <c r="E80">
        <v>5</v>
      </c>
      <c r="F80" s="299"/>
      <c r="G80" s="222">
        <f t="shared" si="4"/>
      </c>
      <c r="H80" s="215"/>
      <c r="I80" s="416" t="s">
        <v>37</v>
      </c>
      <c r="J80" s="225" t="s">
        <v>37</v>
      </c>
      <c r="K80" s="225">
        <v>0.3</v>
      </c>
      <c r="L80" s="241"/>
      <c r="M80" s="221">
        <f t="shared" si="5"/>
      </c>
      <c r="N80" s="215"/>
      <c r="O80" s="220" t="str">
        <f>IF(RPA!C78="No Criteria","No Criteria","")</f>
        <v>No Criteria</v>
      </c>
    </row>
    <row r="81" spans="1:15" ht="12.75">
      <c r="A81" s="223">
        <v>73</v>
      </c>
      <c r="B81" s="224" t="s">
        <v>136</v>
      </c>
      <c r="C81" s="246" t="str">
        <f t="shared" si="3"/>
        <v>Y</v>
      </c>
      <c r="D81" s="226" t="s">
        <v>37</v>
      </c>
      <c r="E81">
        <v>0.3</v>
      </c>
      <c r="F81" s="299"/>
      <c r="G81" s="222">
        <f t="shared" si="4"/>
      </c>
      <c r="H81" s="215"/>
      <c r="I81" s="416" t="s">
        <v>37</v>
      </c>
      <c r="J81" s="225" t="s">
        <v>208</v>
      </c>
      <c r="K81" s="225"/>
      <c r="L81" s="226">
        <v>0.0024</v>
      </c>
      <c r="M81" s="221">
        <f t="shared" si="5"/>
      </c>
      <c r="N81" s="215"/>
      <c r="O81" s="220">
        <f>IF(RPA!C79="No Criteria","No Criteria","")</f>
      </c>
    </row>
    <row r="82" spans="1:15" ht="12.75">
      <c r="A82" s="223">
        <v>74</v>
      </c>
      <c r="B82" s="224" t="s">
        <v>137</v>
      </c>
      <c r="C82" s="246" t="str">
        <f t="shared" si="3"/>
        <v>Y</v>
      </c>
      <c r="D82" s="226" t="s">
        <v>37</v>
      </c>
      <c r="E82">
        <v>0.1</v>
      </c>
      <c r="F82" s="299"/>
      <c r="G82" s="222">
        <f t="shared" si="4"/>
      </c>
      <c r="H82" s="215"/>
      <c r="I82" s="416" t="s">
        <v>37</v>
      </c>
      <c r="J82" s="225" t="s">
        <v>208</v>
      </c>
      <c r="K82" s="225"/>
      <c r="L82" s="226">
        <v>0.00064</v>
      </c>
      <c r="M82" s="221">
        <f t="shared" si="5"/>
      </c>
      <c r="N82" s="215"/>
      <c r="O82" s="220">
        <f>IF(RPA!C80="No Criteria","No Criteria","")</f>
      </c>
    </row>
    <row r="83" spans="1:15" ht="12.75">
      <c r="A83" s="223">
        <v>75</v>
      </c>
      <c r="B83" s="224" t="s">
        <v>138</v>
      </c>
      <c r="C83" s="246" t="s">
        <v>208</v>
      </c>
      <c r="D83" s="226"/>
      <c r="E83" s="1"/>
      <c r="F83" s="299"/>
      <c r="G83" s="222"/>
      <c r="H83" s="215"/>
      <c r="I83" s="416" t="s">
        <v>37</v>
      </c>
      <c r="J83" s="225" t="s">
        <v>37</v>
      </c>
      <c r="K83" s="225">
        <v>0.8</v>
      </c>
      <c r="L83" s="241"/>
      <c r="M83" s="221">
        <f t="shared" si="5"/>
      </c>
      <c r="N83" s="215"/>
      <c r="O83" s="220">
        <f>IF(RPA!C81="No Criteria","No Criteria","")</f>
      </c>
    </row>
    <row r="84" spans="1:15" ht="12.75">
      <c r="A84" s="223">
        <v>76</v>
      </c>
      <c r="B84" s="224" t="s">
        <v>139</v>
      </c>
      <c r="C84" s="246" t="str">
        <f t="shared" si="3"/>
        <v>Y</v>
      </c>
      <c r="D84" s="226" t="s">
        <v>37</v>
      </c>
      <c r="E84">
        <v>0.5</v>
      </c>
      <c r="F84" s="299"/>
      <c r="G84" s="222">
        <f t="shared" si="4"/>
      </c>
      <c r="H84" s="215"/>
      <c r="I84" s="416" t="s">
        <v>37</v>
      </c>
      <c r="J84" s="225" t="s">
        <v>37</v>
      </c>
      <c r="K84" s="225">
        <v>0.8</v>
      </c>
      <c r="L84" s="241"/>
      <c r="M84" s="221">
        <f t="shared" si="5"/>
      </c>
      <c r="N84" s="215"/>
      <c r="O84" s="220">
        <f>IF(RPA!C82="No Criteria","No Criteria","")</f>
      </c>
    </row>
    <row r="85" spans="1:15" ht="12.75">
      <c r="A85" s="223">
        <v>77</v>
      </c>
      <c r="B85" s="224" t="s">
        <v>140</v>
      </c>
      <c r="C85" s="246" t="str">
        <f t="shared" si="3"/>
        <v>Y</v>
      </c>
      <c r="D85" s="226" t="s">
        <v>37</v>
      </c>
      <c r="E85">
        <v>0.5</v>
      </c>
      <c r="F85" s="299"/>
      <c r="G85" s="222">
        <f t="shared" si="4"/>
      </c>
      <c r="H85" s="215"/>
      <c r="I85" s="416" t="s">
        <v>37</v>
      </c>
      <c r="J85" s="225" t="s">
        <v>37</v>
      </c>
      <c r="K85" s="225">
        <v>0.8</v>
      </c>
      <c r="L85" s="241"/>
      <c r="M85" s="221">
        <f t="shared" si="5"/>
      </c>
      <c r="N85" s="215"/>
      <c r="O85" s="220">
        <f>IF(RPA!C83="No Criteria","No Criteria","")</f>
      </c>
    </row>
    <row r="86" spans="1:15" ht="12.75">
      <c r="A86" s="223">
        <v>78</v>
      </c>
      <c r="B86" s="224" t="s">
        <v>225</v>
      </c>
      <c r="C86" s="246" t="str">
        <f t="shared" si="3"/>
        <v>Y</v>
      </c>
      <c r="D86" s="226" t="s">
        <v>37</v>
      </c>
      <c r="E86">
        <v>5</v>
      </c>
      <c r="F86" s="299"/>
      <c r="G86" s="222">
        <f t="shared" si="4"/>
      </c>
      <c r="H86" s="215"/>
      <c r="I86" s="416" t="s">
        <v>37</v>
      </c>
      <c r="J86" s="225" t="s">
        <v>37</v>
      </c>
      <c r="K86" s="225">
        <v>0.001</v>
      </c>
      <c r="L86" s="241"/>
      <c r="M86" s="221">
        <f t="shared" si="5"/>
      </c>
      <c r="N86" s="215"/>
      <c r="O86" s="220">
        <f>IF(RPA!C84="No Criteria","No Criteria","")</f>
      </c>
    </row>
    <row r="87" spans="1:15" ht="12.75">
      <c r="A87" s="223">
        <v>79</v>
      </c>
      <c r="B87" s="224" t="s">
        <v>142</v>
      </c>
      <c r="C87" s="246" t="str">
        <f t="shared" si="3"/>
        <v>Y</v>
      </c>
      <c r="D87" s="226" t="s">
        <v>37</v>
      </c>
      <c r="E87">
        <v>2</v>
      </c>
      <c r="F87" s="299"/>
      <c r="G87" s="222">
        <f t="shared" si="4"/>
      </c>
      <c r="H87" s="215"/>
      <c r="I87" s="416" t="s">
        <v>37</v>
      </c>
      <c r="J87" s="225" t="s">
        <v>37</v>
      </c>
      <c r="K87" s="225">
        <v>0.24</v>
      </c>
      <c r="L87" s="241"/>
      <c r="M87" s="221">
        <f t="shared" si="5"/>
      </c>
      <c r="N87" s="215"/>
      <c r="O87" s="220">
        <f>IF(RPA!C85="No Criteria","No Criteria","")</f>
      </c>
    </row>
    <row r="88" spans="1:15" ht="12.75">
      <c r="A88" s="223">
        <v>80</v>
      </c>
      <c r="B88" s="224" t="s">
        <v>143</v>
      </c>
      <c r="C88" s="246" t="str">
        <f t="shared" si="3"/>
        <v>Y</v>
      </c>
      <c r="D88" s="226" t="s">
        <v>37</v>
      </c>
      <c r="E88">
        <v>2</v>
      </c>
      <c r="F88" s="299"/>
      <c r="G88" s="222">
        <f t="shared" si="4"/>
      </c>
      <c r="H88" s="215"/>
      <c r="I88" s="416" t="s">
        <v>37</v>
      </c>
      <c r="J88" s="226" t="s">
        <v>37</v>
      </c>
      <c r="K88" s="226">
        <v>0.24</v>
      </c>
      <c r="L88" s="241"/>
      <c r="M88" s="221">
        <f t="shared" si="5"/>
      </c>
      <c r="N88" s="215"/>
      <c r="O88" s="220">
        <f>IF(RPA!C86="No Criteria","No Criteria","")</f>
      </c>
    </row>
    <row r="89" spans="1:15" ht="12.75">
      <c r="A89" s="223">
        <v>81</v>
      </c>
      <c r="B89" s="224" t="s">
        <v>144</v>
      </c>
      <c r="C89" s="246" t="str">
        <f t="shared" si="3"/>
        <v>Y</v>
      </c>
      <c r="D89" s="226" t="s">
        <v>37</v>
      </c>
      <c r="E89">
        <v>5</v>
      </c>
      <c r="F89" s="299"/>
      <c r="G89" s="222">
        <f t="shared" si="4"/>
      </c>
      <c r="H89" s="215"/>
      <c r="I89" s="416" t="s">
        <v>37</v>
      </c>
      <c r="J89" s="225" t="s">
        <v>37</v>
      </c>
      <c r="K89" s="225">
        <v>0.5</v>
      </c>
      <c r="L89" s="241"/>
      <c r="M89" s="221">
        <f t="shared" si="5"/>
      </c>
      <c r="N89" s="215"/>
      <c r="O89" s="220">
        <f>IF(RPA!C87="No Criteria","No Criteria","")</f>
      </c>
    </row>
    <row r="90" spans="1:15" ht="12.75">
      <c r="A90" s="223">
        <v>82</v>
      </c>
      <c r="B90" s="224" t="s">
        <v>145</v>
      </c>
      <c r="C90" s="246" t="str">
        <f t="shared" si="3"/>
        <v>Y</v>
      </c>
      <c r="D90" s="226" t="s">
        <v>37</v>
      </c>
      <c r="E90">
        <v>5</v>
      </c>
      <c r="F90" s="299"/>
      <c r="G90" s="222">
        <f t="shared" si="4"/>
      </c>
      <c r="H90" s="215"/>
      <c r="I90" s="416" t="s">
        <v>37</v>
      </c>
      <c r="J90" s="225" t="s">
        <v>37</v>
      </c>
      <c r="K90" s="225">
        <v>0.27</v>
      </c>
      <c r="L90" s="241"/>
      <c r="M90" s="221">
        <f t="shared" si="5"/>
      </c>
      <c r="N90" s="215"/>
      <c r="O90" s="220">
        <f>IF(RPA!C88="No Criteria","No Criteria","")</f>
      </c>
    </row>
    <row r="91" spans="1:15" ht="12.75">
      <c r="A91" s="223">
        <v>83</v>
      </c>
      <c r="B91" s="224" t="s">
        <v>146</v>
      </c>
      <c r="C91" s="246" t="str">
        <f t="shared" si="3"/>
        <v>Y</v>
      </c>
      <c r="D91" s="226" t="s">
        <v>37</v>
      </c>
      <c r="E91">
        <v>5</v>
      </c>
      <c r="F91" s="299"/>
      <c r="G91" s="222">
        <f t="shared" si="4"/>
      </c>
      <c r="H91" s="215"/>
      <c r="I91" s="416" t="s">
        <v>37</v>
      </c>
      <c r="J91" s="225" t="s">
        <v>37</v>
      </c>
      <c r="K91" s="225">
        <v>0.29</v>
      </c>
      <c r="L91" s="241"/>
      <c r="M91" s="221">
        <f t="shared" si="5"/>
      </c>
      <c r="N91" s="215"/>
      <c r="O91" s="220" t="str">
        <f>IF(RPA!C89="No Criteria","No Criteria","")</f>
        <v>No Criteria</v>
      </c>
    </row>
    <row r="92" spans="1:15" ht="12.75">
      <c r="A92" s="223">
        <v>84</v>
      </c>
      <c r="B92" s="224" t="s">
        <v>147</v>
      </c>
      <c r="C92" s="246" t="str">
        <f t="shared" si="3"/>
        <v>Y</v>
      </c>
      <c r="D92" s="226" t="s">
        <v>37</v>
      </c>
      <c r="E92">
        <v>5</v>
      </c>
      <c r="F92" s="299"/>
      <c r="G92" s="222">
        <f t="shared" si="4"/>
      </c>
      <c r="H92" s="215"/>
      <c r="I92" s="416" t="s">
        <v>37</v>
      </c>
      <c r="J92" s="225" t="s">
        <v>37</v>
      </c>
      <c r="K92" s="225">
        <v>0.38</v>
      </c>
      <c r="L92" s="241"/>
      <c r="M92" s="221">
        <f t="shared" si="5"/>
      </c>
      <c r="N92" s="215"/>
      <c r="O92" s="220" t="str">
        <f>IF(RPA!C90="No Criteria","No Criteria","")</f>
        <v>No Criteria</v>
      </c>
    </row>
    <row r="93" spans="1:15" ht="12.75">
      <c r="A93" s="223">
        <v>85</v>
      </c>
      <c r="B93" s="224" t="s">
        <v>148</v>
      </c>
      <c r="C93" s="246" t="str">
        <f t="shared" si="3"/>
        <v>Y</v>
      </c>
      <c r="D93" s="226" t="s">
        <v>37</v>
      </c>
      <c r="E93">
        <v>1</v>
      </c>
      <c r="F93" s="299"/>
      <c r="G93" s="222">
        <f t="shared" si="4"/>
      </c>
      <c r="H93" s="215"/>
      <c r="I93" s="416" t="s">
        <v>37</v>
      </c>
      <c r="J93" s="225" t="s">
        <v>208</v>
      </c>
      <c r="K93" s="226"/>
      <c r="L93" s="241">
        <v>0.0037</v>
      </c>
      <c r="M93" s="221">
        <f t="shared" si="5"/>
      </c>
      <c r="N93" s="215"/>
      <c r="O93" s="220">
        <f>IF(RPA!C91="No Criteria","No Criteria","")</f>
      </c>
    </row>
    <row r="94" spans="1:15" ht="12.75">
      <c r="A94" s="223">
        <v>86</v>
      </c>
      <c r="B94" s="224" t="s">
        <v>149</v>
      </c>
      <c r="C94" s="246" t="str">
        <f t="shared" si="3"/>
        <v>Y</v>
      </c>
      <c r="D94" s="226" t="s">
        <v>37</v>
      </c>
      <c r="E94">
        <v>0.05</v>
      </c>
      <c r="F94" s="299"/>
      <c r="G94" s="222">
        <f t="shared" si="4"/>
      </c>
      <c r="H94" s="215"/>
      <c r="I94" s="416" t="s">
        <v>37</v>
      </c>
      <c r="J94" s="225" t="s">
        <v>208</v>
      </c>
      <c r="K94" s="225"/>
      <c r="L94" s="226">
        <v>0.011</v>
      </c>
      <c r="M94" s="221">
        <f t="shared" si="5"/>
      </c>
      <c r="N94" s="215"/>
      <c r="O94" s="220">
        <f>IF(RPA!C92="No Criteria","No Criteria","")</f>
      </c>
    </row>
    <row r="95" spans="1:15" ht="12.75">
      <c r="A95" s="223">
        <v>87</v>
      </c>
      <c r="B95" s="224" t="s">
        <v>150</v>
      </c>
      <c r="C95" s="246" t="str">
        <f t="shared" si="3"/>
        <v>Y</v>
      </c>
      <c r="D95" s="226" t="s">
        <v>37</v>
      </c>
      <c r="E95">
        <v>0.1</v>
      </c>
      <c r="F95" s="299"/>
      <c r="G95" s="222">
        <f t="shared" si="4"/>
      </c>
      <c r="H95" s="215"/>
      <c r="I95" s="416" t="s">
        <v>37</v>
      </c>
      <c r="J95" s="225" t="s">
        <v>208</v>
      </c>
      <c r="K95" s="225"/>
      <c r="L95" s="226">
        <v>0.00208</v>
      </c>
      <c r="M95" s="221">
        <f t="shared" si="5"/>
      </c>
      <c r="N95" s="215"/>
      <c r="O95" s="220">
        <f>IF(RPA!C93="No Criteria","No Criteria","")</f>
      </c>
    </row>
    <row r="96" spans="1:15" ht="12.75">
      <c r="A96" s="223">
        <v>88</v>
      </c>
      <c r="B96" s="229" t="s">
        <v>151</v>
      </c>
      <c r="C96" s="246" t="str">
        <f t="shared" si="3"/>
        <v>Y</v>
      </c>
      <c r="D96" s="226" t="s">
        <v>37</v>
      </c>
      <c r="E96">
        <v>0.1</v>
      </c>
      <c r="F96" s="299"/>
      <c r="G96" s="222">
        <f t="shared" si="4"/>
      </c>
      <c r="H96" s="215"/>
      <c r="I96" s="416" t="s">
        <v>37</v>
      </c>
      <c r="J96" s="225" t="s">
        <v>208</v>
      </c>
      <c r="K96" s="225"/>
      <c r="L96" s="226">
        <v>2.02E-05</v>
      </c>
      <c r="M96" s="221">
        <f t="shared" si="5"/>
      </c>
      <c r="N96" s="215"/>
      <c r="O96" s="220">
        <f>IF(RPA!C94="No Criteria","No Criteria","")</f>
      </c>
    </row>
    <row r="97" spans="1:15" ht="12.75">
      <c r="A97" s="223">
        <v>89</v>
      </c>
      <c r="B97" s="224" t="s">
        <v>152</v>
      </c>
      <c r="C97" s="246" t="str">
        <f t="shared" si="3"/>
        <v>Y</v>
      </c>
      <c r="D97" s="226" t="s">
        <v>37</v>
      </c>
      <c r="E97">
        <v>1</v>
      </c>
      <c r="F97" s="299"/>
      <c r="G97" s="222">
        <f t="shared" si="4"/>
      </c>
      <c r="H97" s="215"/>
      <c r="I97" s="416" t="s">
        <v>37</v>
      </c>
      <c r="J97" s="225" t="s">
        <v>37</v>
      </c>
      <c r="K97" s="225">
        <v>0.3</v>
      </c>
      <c r="L97" s="241"/>
      <c r="M97" s="221">
        <f t="shared" si="5"/>
      </c>
      <c r="N97" s="215"/>
      <c r="O97" s="220">
        <f>IF(RPA!C95="No Criteria","No Criteria","")</f>
      </c>
    </row>
    <row r="98" spans="1:15" ht="12.75">
      <c r="A98" s="223">
        <v>90</v>
      </c>
      <c r="B98" s="224" t="s">
        <v>153</v>
      </c>
      <c r="C98" s="246" t="str">
        <f t="shared" si="3"/>
        <v>Y</v>
      </c>
      <c r="D98" s="226" t="s">
        <v>37</v>
      </c>
      <c r="E98">
        <v>5</v>
      </c>
      <c r="F98" s="299"/>
      <c r="G98" s="222">
        <f t="shared" si="4"/>
      </c>
      <c r="H98" s="215"/>
      <c r="I98" s="416" t="s">
        <v>37</v>
      </c>
      <c r="J98" s="225" t="s">
        <v>37</v>
      </c>
      <c r="K98" s="225">
        <v>0.31</v>
      </c>
      <c r="L98" s="241"/>
      <c r="M98" s="221">
        <f t="shared" si="5"/>
      </c>
      <c r="N98" s="215"/>
      <c r="O98" s="220">
        <f>IF(RPA!C96="No Criteria","No Criteria","")</f>
      </c>
    </row>
    <row r="99" spans="1:15" ht="12.75">
      <c r="A99" s="223">
        <v>91</v>
      </c>
      <c r="B99" s="224" t="s">
        <v>154</v>
      </c>
      <c r="C99" s="246" t="str">
        <f t="shared" si="3"/>
        <v>Y</v>
      </c>
      <c r="D99" s="226" t="s">
        <v>37</v>
      </c>
      <c r="E99">
        <v>1</v>
      </c>
      <c r="F99" s="299"/>
      <c r="G99" s="222">
        <f t="shared" si="4"/>
      </c>
      <c r="H99" s="215"/>
      <c r="I99" s="416" t="s">
        <v>37</v>
      </c>
      <c r="J99" s="225" t="s">
        <v>37</v>
      </c>
      <c r="K99" s="225">
        <v>0.2</v>
      </c>
      <c r="L99" s="241"/>
      <c r="M99" s="221">
        <f t="shared" si="5"/>
      </c>
      <c r="N99" s="215"/>
      <c r="O99" s="220">
        <f>IF(RPA!C97="No Criteria","No Criteria","")</f>
      </c>
    </row>
    <row r="100" spans="1:15" ht="12.75">
      <c r="A100" s="223">
        <v>92</v>
      </c>
      <c r="B100" s="224" t="s">
        <v>226</v>
      </c>
      <c r="C100" s="246" t="str">
        <f t="shared" si="3"/>
        <v>Y</v>
      </c>
      <c r="D100" s="226" t="s">
        <v>37</v>
      </c>
      <c r="E100">
        <v>0.05</v>
      </c>
      <c r="F100" s="299"/>
      <c r="G100" s="222">
        <f t="shared" si="4"/>
      </c>
      <c r="H100" s="215"/>
      <c r="I100" s="416" t="s">
        <v>37</v>
      </c>
      <c r="J100" s="225" t="s">
        <v>208</v>
      </c>
      <c r="K100" s="225"/>
      <c r="L100" s="226">
        <v>0.004</v>
      </c>
      <c r="M100" s="221">
        <f t="shared" si="5"/>
      </c>
      <c r="N100" s="215"/>
      <c r="O100" s="220">
        <f>IF(RPA!C98="No Criteria","No Criteria","")</f>
      </c>
    </row>
    <row r="101" spans="1:15" ht="12.75">
      <c r="A101" s="223">
        <v>93</v>
      </c>
      <c r="B101" s="224" t="s">
        <v>156</v>
      </c>
      <c r="C101" s="246" t="str">
        <f t="shared" si="3"/>
        <v>Y</v>
      </c>
      <c r="D101" s="226" t="s">
        <v>37</v>
      </c>
      <c r="E101">
        <v>1</v>
      </c>
      <c r="F101" s="299"/>
      <c r="G101" s="222">
        <f t="shared" si="4"/>
      </c>
      <c r="H101" s="215"/>
      <c r="I101" s="416" t="s">
        <v>37</v>
      </c>
      <c r="J101" s="225" t="s">
        <v>37</v>
      </c>
      <c r="K101" s="225">
        <v>0.3</v>
      </c>
      <c r="L101" s="241"/>
      <c r="M101" s="221">
        <f t="shared" si="5"/>
      </c>
      <c r="N101" s="215"/>
      <c r="O101" s="220">
        <f>IF(RPA!C99="No Criteria","No Criteria","")</f>
      </c>
    </row>
    <row r="102" spans="1:15" ht="12.75">
      <c r="A102" s="223">
        <v>94</v>
      </c>
      <c r="B102" s="224" t="s">
        <v>227</v>
      </c>
      <c r="C102" s="246" t="str">
        <f t="shared" si="3"/>
        <v>Y</v>
      </c>
      <c r="D102" s="226" t="s">
        <v>37</v>
      </c>
      <c r="E102">
        <v>0.2</v>
      </c>
      <c r="F102" s="299"/>
      <c r="G102" s="222">
        <f t="shared" si="4"/>
      </c>
      <c r="H102" s="215"/>
      <c r="I102" s="416" t="s">
        <v>37</v>
      </c>
      <c r="J102" s="225" t="s">
        <v>208</v>
      </c>
      <c r="K102" s="225"/>
      <c r="L102" s="226">
        <v>0.0023</v>
      </c>
      <c r="M102" s="221">
        <f t="shared" si="5"/>
      </c>
      <c r="N102" s="215"/>
      <c r="O102" s="220" t="str">
        <f>IF(RPA!C100="No Criteria","No Criteria","")</f>
        <v>No Criteria</v>
      </c>
    </row>
    <row r="103" spans="1:15" ht="12.75">
      <c r="A103" s="223">
        <v>95</v>
      </c>
      <c r="B103" s="224" t="s">
        <v>158</v>
      </c>
      <c r="C103" s="246" t="str">
        <f t="shared" si="3"/>
        <v>Y</v>
      </c>
      <c r="D103" s="226" t="s">
        <v>37</v>
      </c>
      <c r="E103">
        <v>1</v>
      </c>
      <c r="F103" s="299"/>
      <c r="G103" s="222">
        <f t="shared" si="4"/>
      </c>
      <c r="H103" s="215"/>
      <c r="I103" s="416" t="s">
        <v>37</v>
      </c>
      <c r="J103" s="225" t="s">
        <v>37</v>
      </c>
      <c r="K103" s="225">
        <v>0.25</v>
      </c>
      <c r="L103" s="241"/>
      <c r="M103" s="221">
        <f t="shared" si="5"/>
      </c>
      <c r="N103" s="215"/>
      <c r="O103" s="220">
        <f>IF(RPA!C101="No Criteria","No Criteria","")</f>
      </c>
    </row>
    <row r="104" spans="1:15" ht="12.75">
      <c r="A104" s="223">
        <v>96</v>
      </c>
      <c r="B104" s="224" t="s">
        <v>159</v>
      </c>
      <c r="C104" s="246" t="str">
        <f t="shared" si="3"/>
        <v>Y</v>
      </c>
      <c r="D104" s="226" t="s">
        <v>37</v>
      </c>
      <c r="E104">
        <v>1</v>
      </c>
      <c r="F104" s="299"/>
      <c r="G104" s="222">
        <f t="shared" si="4"/>
      </c>
      <c r="H104" s="215"/>
      <c r="I104" s="416" t="s">
        <v>37</v>
      </c>
      <c r="J104" s="226" t="s">
        <v>37</v>
      </c>
      <c r="K104" s="226">
        <v>0.3</v>
      </c>
      <c r="L104" s="241"/>
      <c r="M104" s="221">
        <f t="shared" si="5"/>
      </c>
      <c r="N104" s="215"/>
      <c r="O104" s="220">
        <f>IF(RPA!C102="No Criteria","No Criteria","")</f>
      </c>
    </row>
    <row r="105" spans="1:15" ht="12.75">
      <c r="A105" s="223">
        <v>97</v>
      </c>
      <c r="B105" s="224" t="s">
        <v>160</v>
      </c>
      <c r="C105" s="246" t="str">
        <f t="shared" si="3"/>
        <v>Y</v>
      </c>
      <c r="D105" s="226" t="s">
        <v>37</v>
      </c>
      <c r="E105">
        <v>5</v>
      </c>
      <c r="F105" s="299"/>
      <c r="G105" s="222">
        <f t="shared" si="4"/>
      </c>
      <c r="H105" s="215"/>
      <c r="I105" s="416" t="s">
        <v>37</v>
      </c>
      <c r="J105" s="225" t="s">
        <v>37</v>
      </c>
      <c r="K105" s="225">
        <v>0.001</v>
      </c>
      <c r="L105" s="241"/>
      <c r="M105" s="221">
        <f t="shared" si="5"/>
      </c>
      <c r="N105" s="215"/>
      <c r="O105" s="220">
        <f>IF(RPA!C103="No Criteria","No Criteria","")</f>
      </c>
    </row>
    <row r="106" spans="1:15" ht="12.75">
      <c r="A106" s="223">
        <v>98</v>
      </c>
      <c r="B106" s="224" t="s">
        <v>161</v>
      </c>
      <c r="C106" s="246" t="str">
        <f t="shared" si="3"/>
        <v>Y</v>
      </c>
      <c r="D106" s="226" t="s">
        <v>37</v>
      </c>
      <c r="E106">
        <v>1</v>
      </c>
      <c r="F106" s="299"/>
      <c r="G106" s="222">
        <f t="shared" si="4"/>
      </c>
      <c r="H106" s="215"/>
      <c r="I106" s="416" t="s">
        <v>37</v>
      </c>
      <c r="J106" s="225" t="s">
        <v>37</v>
      </c>
      <c r="K106" s="225">
        <v>0.001</v>
      </c>
      <c r="L106" s="241"/>
      <c r="M106" s="221">
        <f t="shared" si="5"/>
      </c>
      <c r="N106" s="215"/>
      <c r="O106" s="220">
        <f>IF(RPA!C104="No Criteria","No Criteria","")</f>
      </c>
    </row>
    <row r="107" spans="1:15" ht="12.75">
      <c r="A107" s="223">
        <v>99</v>
      </c>
      <c r="B107" s="224" t="s">
        <v>162</v>
      </c>
      <c r="C107" s="246" t="str">
        <f t="shared" si="3"/>
        <v>Y</v>
      </c>
      <c r="D107" s="226" t="s">
        <v>37</v>
      </c>
      <c r="E107">
        <v>0.05</v>
      </c>
      <c r="F107" s="299"/>
      <c r="G107" s="222">
        <f t="shared" si="4"/>
      </c>
      <c r="H107" s="215"/>
      <c r="I107" s="416" t="s">
        <v>37</v>
      </c>
      <c r="J107" s="225" t="s">
        <v>208</v>
      </c>
      <c r="K107" s="225"/>
      <c r="L107" s="226">
        <v>0.0061</v>
      </c>
      <c r="M107" s="221">
        <f t="shared" si="5"/>
      </c>
      <c r="N107" s="215"/>
      <c r="O107" s="220" t="str">
        <f>IF(RPA!C105="No Criteria","No Criteria","")</f>
        <v>No Criteria</v>
      </c>
    </row>
    <row r="108" spans="1:15" ht="12.75">
      <c r="A108" s="223">
        <v>100</v>
      </c>
      <c r="B108" s="224" t="s">
        <v>163</v>
      </c>
      <c r="C108" s="246" t="str">
        <f t="shared" si="3"/>
        <v>Y</v>
      </c>
      <c r="D108" s="226" t="s">
        <v>37</v>
      </c>
      <c r="E108">
        <v>0.05</v>
      </c>
      <c r="F108" s="299"/>
      <c r="G108" s="222">
        <f t="shared" si="4"/>
      </c>
      <c r="H108" s="215"/>
      <c r="I108" s="416" t="s">
        <v>37</v>
      </c>
      <c r="J108" s="225" t="s">
        <v>208</v>
      </c>
      <c r="K108" s="225"/>
      <c r="L108" s="226">
        <v>0.0051</v>
      </c>
      <c r="M108" s="221">
        <f t="shared" si="5"/>
      </c>
      <c r="N108" s="215"/>
      <c r="O108" s="220">
        <f>IF(RPA!C106="No Criteria","No Criteria","")</f>
      </c>
    </row>
    <row r="109" spans="1:15" ht="12.75">
      <c r="A109" s="223">
        <v>101</v>
      </c>
      <c r="B109" s="224" t="s">
        <v>164</v>
      </c>
      <c r="C109" s="246" t="str">
        <f t="shared" si="3"/>
        <v>Y</v>
      </c>
      <c r="D109" s="226" t="s">
        <v>37</v>
      </c>
      <c r="E109">
        <v>5</v>
      </c>
      <c r="F109" s="299"/>
      <c r="G109" s="222">
        <f t="shared" si="4"/>
      </c>
      <c r="H109" s="215"/>
      <c r="I109" s="416" t="s">
        <v>37</v>
      </c>
      <c r="J109" s="226" t="s">
        <v>37</v>
      </c>
      <c r="K109" s="226">
        <v>0.3</v>
      </c>
      <c r="L109" s="241"/>
      <c r="M109" s="221">
        <f t="shared" si="5"/>
      </c>
      <c r="N109" s="215"/>
      <c r="O109" s="220" t="str">
        <f>IF(RPA!C107="No Criteria","No Criteria","")</f>
        <v>No Criteria</v>
      </c>
    </row>
    <row r="110" spans="1:15" ht="12.75">
      <c r="A110" s="223">
        <v>102</v>
      </c>
      <c r="B110" s="224" t="s">
        <v>165</v>
      </c>
      <c r="C110" s="246" t="str">
        <f t="shared" si="3"/>
        <v>Y</v>
      </c>
      <c r="D110" s="226" t="s">
        <v>37</v>
      </c>
      <c r="E110">
        <v>0.005</v>
      </c>
      <c r="F110" s="299"/>
      <c r="G110" s="222">
        <f t="shared" si="4"/>
      </c>
      <c r="H110" s="215"/>
      <c r="I110" s="416" t="s">
        <v>208</v>
      </c>
      <c r="J110" s="225"/>
      <c r="K110" s="225"/>
      <c r="L110" s="241"/>
      <c r="M110" s="221">
        <f t="shared" si="5"/>
      </c>
      <c r="N110" s="215"/>
      <c r="O110" s="220">
        <f>IF(RPA!C108="No Criteria","No Criteria","")</f>
      </c>
    </row>
    <row r="111" spans="1:15" ht="12.75">
      <c r="A111" s="223">
        <v>103</v>
      </c>
      <c r="B111" s="224" t="s">
        <v>166</v>
      </c>
      <c r="C111" s="246" t="str">
        <f t="shared" si="3"/>
        <v>Y</v>
      </c>
      <c r="D111" s="226" t="s">
        <v>37</v>
      </c>
      <c r="E111">
        <v>0.01</v>
      </c>
      <c r="F111" s="299"/>
      <c r="G111" s="222">
        <f t="shared" si="4"/>
      </c>
      <c r="H111" s="215"/>
      <c r="I111" s="416" t="s">
        <v>37</v>
      </c>
      <c r="J111" s="225" t="s">
        <v>208</v>
      </c>
      <c r="K111" s="225"/>
      <c r="L111" s="243">
        <v>0.000496</v>
      </c>
      <c r="M111" s="221">
        <f t="shared" si="5"/>
      </c>
      <c r="N111" s="215"/>
      <c r="O111" s="220">
        <f>IF(RPA!C109="No Criteria","No Criteria","")</f>
      </c>
    </row>
    <row r="112" spans="1:15" ht="12.75">
      <c r="A112" s="223">
        <v>104</v>
      </c>
      <c r="B112" s="224" t="s">
        <v>167</v>
      </c>
      <c r="C112" s="246" t="str">
        <f t="shared" si="3"/>
        <v>Y</v>
      </c>
      <c r="D112" s="226" t="s">
        <v>37</v>
      </c>
      <c r="E112">
        <v>0.005</v>
      </c>
      <c r="F112" s="299"/>
      <c r="G112" s="222">
        <f t="shared" si="4"/>
      </c>
      <c r="H112" s="215"/>
      <c r="I112" s="416" t="s">
        <v>37</v>
      </c>
      <c r="J112" s="225" t="s">
        <v>208</v>
      </c>
      <c r="K112" s="225"/>
      <c r="L112" s="225">
        <v>0.000413</v>
      </c>
      <c r="M112" s="221">
        <f t="shared" si="5"/>
      </c>
      <c r="N112" s="215"/>
      <c r="O112" s="220">
        <f>IF(RPA!C110="No Criteria","No Criteria","")</f>
      </c>
    </row>
    <row r="113" spans="1:15" ht="12.75">
      <c r="A113" s="223">
        <v>105</v>
      </c>
      <c r="B113" s="224" t="s">
        <v>168</v>
      </c>
      <c r="C113" s="246" t="str">
        <f t="shared" si="3"/>
        <v>Y</v>
      </c>
      <c r="D113" s="226" t="s">
        <v>37</v>
      </c>
      <c r="E113">
        <v>0.01</v>
      </c>
      <c r="F113" s="299"/>
      <c r="G113" s="222">
        <f t="shared" si="4"/>
      </c>
      <c r="H113" s="215"/>
      <c r="I113" s="416" t="s">
        <v>37</v>
      </c>
      <c r="J113" s="225" t="s">
        <v>208</v>
      </c>
      <c r="K113" s="225"/>
      <c r="L113" s="241">
        <v>0.0007034</v>
      </c>
      <c r="M113" s="221">
        <f t="shared" si="5"/>
      </c>
      <c r="N113" s="215"/>
      <c r="O113" s="220">
        <f>IF(RPA!C111="No Criteria","No Criteria","")</f>
      </c>
    </row>
    <row r="114" spans="1:15" ht="12.75">
      <c r="A114" s="223">
        <v>106</v>
      </c>
      <c r="B114" s="224" t="s">
        <v>169</v>
      </c>
      <c r="C114" s="246" t="str">
        <f t="shared" si="3"/>
        <v>Y</v>
      </c>
      <c r="D114" s="226" t="s">
        <v>37</v>
      </c>
      <c r="E114">
        <v>0.01</v>
      </c>
      <c r="F114" s="299"/>
      <c r="G114" s="222">
        <f t="shared" si="4"/>
      </c>
      <c r="H114" s="215"/>
      <c r="I114" s="416" t="s">
        <v>37</v>
      </c>
      <c r="J114" s="225" t="s">
        <v>208</v>
      </c>
      <c r="K114" s="225"/>
      <c r="L114" s="241">
        <v>4.2E-05</v>
      </c>
      <c r="M114" s="221">
        <f t="shared" si="5"/>
      </c>
      <c r="N114" s="215"/>
      <c r="O114" s="220" t="str">
        <f>IF(RPA!C112="No Criteria","No Criteria","")</f>
        <v>No Criteria</v>
      </c>
    </row>
    <row r="115" spans="1:15" ht="12.75">
      <c r="A115" s="233">
        <v>107</v>
      </c>
      <c r="B115" s="234" t="s">
        <v>228</v>
      </c>
      <c r="C115" s="246" t="str">
        <f t="shared" si="3"/>
        <v>Y</v>
      </c>
      <c r="D115" s="226" t="s">
        <v>37</v>
      </c>
      <c r="E115">
        <v>0.02</v>
      </c>
      <c r="F115" s="361"/>
      <c r="G115" s="222">
        <f t="shared" si="4"/>
      </c>
      <c r="H115" s="215"/>
      <c r="I115" s="416" t="s">
        <v>37</v>
      </c>
      <c r="J115" s="225" t="s">
        <v>208</v>
      </c>
      <c r="K115" s="225"/>
      <c r="L115" s="226">
        <v>0.00018</v>
      </c>
      <c r="M115" s="221">
        <f t="shared" si="5"/>
      </c>
      <c r="N115" s="215"/>
      <c r="O115" s="220">
        <f>IF(RPA!C113="No Criteria","No Criteria","")</f>
      </c>
    </row>
    <row r="116" spans="1:15" ht="12.75">
      <c r="A116" s="233">
        <v>108</v>
      </c>
      <c r="B116" s="234" t="s">
        <v>229</v>
      </c>
      <c r="C116" s="246" t="str">
        <f t="shared" si="3"/>
        <v>Y</v>
      </c>
      <c r="D116" s="226" t="s">
        <v>37</v>
      </c>
      <c r="E116">
        <v>0.01</v>
      </c>
      <c r="F116" s="361"/>
      <c r="G116" s="222">
        <f t="shared" si="4"/>
      </c>
      <c r="H116" s="215"/>
      <c r="I116" s="416" t="s">
        <v>37</v>
      </c>
      <c r="J116" s="225" t="s">
        <v>208</v>
      </c>
      <c r="K116" s="225"/>
      <c r="L116" s="226">
        <v>6.6E-05</v>
      </c>
      <c r="M116" s="221">
        <f t="shared" si="5"/>
      </c>
      <c r="N116" s="215"/>
      <c r="O116" s="220">
        <f>IF(RPA!C114="No Criteria","No Criteria","")</f>
      </c>
    </row>
    <row r="117" spans="1:15" ht="12.75">
      <c r="A117" s="223">
        <v>109</v>
      </c>
      <c r="B117" s="229" t="s">
        <v>230</v>
      </c>
      <c r="C117" s="246" t="str">
        <f t="shared" si="3"/>
        <v>Y</v>
      </c>
      <c r="D117" s="226" t="s">
        <v>37</v>
      </c>
      <c r="E117">
        <v>0.01</v>
      </c>
      <c r="F117" s="299"/>
      <c r="G117" s="222">
        <f t="shared" si="4"/>
      </c>
      <c r="H117" s="215"/>
      <c r="I117" s="416" t="s">
        <v>37</v>
      </c>
      <c r="J117" s="225" t="s">
        <v>208</v>
      </c>
      <c r="K117" s="225"/>
      <c r="L117" s="226">
        <v>0.000693</v>
      </c>
      <c r="M117" s="221">
        <f t="shared" si="5"/>
      </c>
      <c r="N117" s="215"/>
      <c r="O117" s="220">
        <f>IF(RPA!C115="No Criteria","No Criteria","")</f>
      </c>
    </row>
    <row r="118" spans="1:15" ht="12.75">
      <c r="A118" s="223">
        <v>110</v>
      </c>
      <c r="B118" s="224" t="s">
        <v>231</v>
      </c>
      <c r="C118" s="246" t="str">
        <f t="shared" si="3"/>
        <v>Y</v>
      </c>
      <c r="D118" s="226" t="s">
        <v>37</v>
      </c>
      <c r="E118">
        <v>0.01</v>
      </c>
      <c r="F118" s="299"/>
      <c r="G118" s="222">
        <f t="shared" si="4"/>
      </c>
      <c r="H118" s="215"/>
      <c r="I118" s="416" t="s">
        <v>37</v>
      </c>
      <c r="J118" s="225" t="s">
        <v>208</v>
      </c>
      <c r="K118" s="225"/>
      <c r="L118" s="226">
        <v>0.000313</v>
      </c>
      <c r="M118" s="221">
        <f t="shared" si="5"/>
      </c>
      <c r="N118" s="215"/>
      <c r="O118" s="220">
        <f>IF(RPA!C116="No Criteria","No Criteria","")</f>
      </c>
    </row>
    <row r="119" spans="1:15" ht="12.75">
      <c r="A119" s="223">
        <v>111</v>
      </c>
      <c r="B119" s="231" t="s">
        <v>174</v>
      </c>
      <c r="C119" s="246" t="str">
        <f t="shared" si="3"/>
        <v>Y</v>
      </c>
      <c r="D119" s="226" t="s">
        <v>37</v>
      </c>
      <c r="E119">
        <v>0.01</v>
      </c>
      <c r="F119" s="299"/>
      <c r="G119" s="222">
        <f t="shared" si="4"/>
      </c>
      <c r="H119" s="215"/>
      <c r="I119" s="416" t="s">
        <v>37</v>
      </c>
      <c r="J119" s="225" t="s">
        <v>208</v>
      </c>
      <c r="K119" s="225"/>
      <c r="L119" s="226">
        <v>0.000264</v>
      </c>
      <c r="M119" s="221">
        <f t="shared" si="5"/>
      </c>
      <c r="N119" s="215"/>
      <c r="O119" s="220">
        <f>IF(RPA!C117="No Criteria","No Criteria","")</f>
      </c>
    </row>
    <row r="120" spans="1:15" ht="12.75">
      <c r="A120" s="223">
        <v>112</v>
      </c>
      <c r="B120" s="224" t="s">
        <v>175</v>
      </c>
      <c r="C120" s="246" t="str">
        <f t="shared" si="3"/>
        <v>Y</v>
      </c>
      <c r="D120" s="226" t="s">
        <v>37</v>
      </c>
      <c r="E120">
        <v>0.01</v>
      </c>
      <c r="F120" s="299"/>
      <c r="G120" s="222">
        <f t="shared" si="4"/>
      </c>
      <c r="H120" s="215"/>
      <c r="I120" s="416" t="s">
        <v>37</v>
      </c>
      <c r="J120" s="225" t="s">
        <v>208</v>
      </c>
      <c r="K120" s="225"/>
      <c r="L120" s="226">
        <v>3.1E-05</v>
      </c>
      <c r="M120" s="221">
        <f t="shared" si="5"/>
      </c>
      <c r="N120" s="215"/>
      <c r="O120" s="220">
        <f>IF(RPA!C118="No Criteria","No Criteria","")</f>
      </c>
    </row>
    <row r="121" spans="1:15" ht="12.75">
      <c r="A121" s="223">
        <v>113</v>
      </c>
      <c r="B121" s="224" t="s">
        <v>232</v>
      </c>
      <c r="C121" s="246" t="str">
        <f t="shared" si="3"/>
        <v>Y</v>
      </c>
      <c r="D121" s="226" t="s">
        <v>37</v>
      </c>
      <c r="E121">
        <v>0.01</v>
      </c>
      <c r="F121" s="299"/>
      <c r="G121" s="222">
        <f t="shared" si="4"/>
      </c>
      <c r="H121" s="215"/>
      <c r="I121" s="416" t="s">
        <v>37</v>
      </c>
      <c r="J121" s="225" t="s">
        <v>208</v>
      </c>
      <c r="K121" s="225"/>
      <c r="L121" s="226">
        <v>6.9E-05</v>
      </c>
      <c r="M121" s="221">
        <f t="shared" si="5"/>
      </c>
      <c r="N121" s="215"/>
      <c r="O121" s="220">
        <f>IF(RPA!C119="No Criteria","No Criteria","")</f>
      </c>
    </row>
    <row r="122" spans="1:15" ht="12.75">
      <c r="A122" s="223">
        <v>114</v>
      </c>
      <c r="B122" s="224" t="s">
        <v>177</v>
      </c>
      <c r="C122" s="246" t="str">
        <f t="shared" si="3"/>
        <v>Y</v>
      </c>
      <c r="D122" s="226" t="s">
        <v>37</v>
      </c>
      <c r="E122">
        <v>0.01</v>
      </c>
      <c r="F122" s="299"/>
      <c r="G122" s="222">
        <f t="shared" si="4"/>
      </c>
      <c r="H122" s="215"/>
      <c r="I122" s="416" t="s">
        <v>37</v>
      </c>
      <c r="J122" s="225" t="s">
        <v>208</v>
      </c>
      <c r="K122" s="225"/>
      <c r="L122" s="226">
        <v>8.19E-05</v>
      </c>
      <c r="M122" s="221">
        <f t="shared" si="5"/>
      </c>
      <c r="N122" s="215"/>
      <c r="O122" s="220">
        <f>IF(RPA!C120="No Criteria","No Criteria","")</f>
      </c>
    </row>
    <row r="123" spans="1:15" ht="12.75">
      <c r="A123" s="223">
        <v>115</v>
      </c>
      <c r="B123" s="224" t="s">
        <v>178</v>
      </c>
      <c r="C123" s="246" t="str">
        <f t="shared" si="3"/>
        <v>Y</v>
      </c>
      <c r="D123" s="226" t="s">
        <v>37</v>
      </c>
      <c r="E123">
        <v>0.01</v>
      </c>
      <c r="F123" s="299"/>
      <c r="G123" s="222">
        <f t="shared" si="4"/>
      </c>
      <c r="H123" s="215"/>
      <c r="I123" s="416" t="s">
        <v>37</v>
      </c>
      <c r="J123" s="225" t="s">
        <v>208</v>
      </c>
      <c r="K123" s="225"/>
      <c r="L123" s="226">
        <v>3.6E-05</v>
      </c>
      <c r="M123" s="221">
        <f t="shared" si="5"/>
      </c>
      <c r="N123" s="215"/>
      <c r="O123" s="220">
        <f>IF(RPA!C121="No Criteria","No Criteria","")</f>
      </c>
    </row>
    <row r="124" spans="1:15" ht="12.75">
      <c r="A124" s="223">
        <v>116</v>
      </c>
      <c r="B124" s="224" t="s">
        <v>179</v>
      </c>
      <c r="C124" s="246" t="str">
        <f t="shared" si="3"/>
        <v>Y</v>
      </c>
      <c r="D124" s="226" t="s">
        <v>37</v>
      </c>
      <c r="E124">
        <v>0.01</v>
      </c>
      <c r="F124" s="299"/>
      <c r="G124" s="222">
        <f t="shared" si="4"/>
      </c>
      <c r="H124" s="215"/>
      <c r="I124" s="416" t="s">
        <v>208</v>
      </c>
      <c r="J124" s="225"/>
      <c r="K124" s="225"/>
      <c r="L124" s="241"/>
      <c r="M124" s="221">
        <f t="shared" si="5"/>
      </c>
      <c r="N124" s="215"/>
      <c r="O124" s="220">
        <f>IF(RPA!C122="No Criteria","No Criteria","")</f>
      </c>
    </row>
    <row r="125" spans="1:15" ht="12.75">
      <c r="A125" s="223">
        <v>117</v>
      </c>
      <c r="B125" s="224" t="s">
        <v>180</v>
      </c>
      <c r="C125" s="246" t="str">
        <f t="shared" si="3"/>
        <v>Y</v>
      </c>
      <c r="D125" s="226" t="s">
        <v>37</v>
      </c>
      <c r="E125">
        <v>0.01</v>
      </c>
      <c r="F125" s="299"/>
      <c r="G125" s="222">
        <f t="shared" si="4"/>
      </c>
      <c r="H125" s="215"/>
      <c r="I125" s="416" t="s">
        <v>37</v>
      </c>
      <c r="J125" s="225" t="s">
        <v>208</v>
      </c>
      <c r="K125" s="225"/>
      <c r="L125" s="226">
        <v>1.9E-05</v>
      </c>
      <c r="M125" s="221">
        <f t="shared" si="5"/>
      </c>
      <c r="N125" s="215"/>
      <c r="O125" s="220">
        <f>IF(RPA!C123="No Criteria","No Criteria","")</f>
      </c>
    </row>
    <row r="126" spans="1:15" ht="12.75">
      <c r="A126" s="223">
        <v>118</v>
      </c>
      <c r="B126" s="224" t="s">
        <v>233</v>
      </c>
      <c r="C126" s="246" t="str">
        <f t="shared" si="3"/>
        <v>Y</v>
      </c>
      <c r="D126" s="226" t="s">
        <v>208</v>
      </c>
      <c r="E126"/>
      <c r="F126" s="299">
        <v>0.1</v>
      </c>
      <c r="G126" s="222">
        <f t="shared" si="4"/>
      </c>
      <c r="H126" s="215"/>
      <c r="I126" s="416" t="s">
        <v>37</v>
      </c>
      <c r="J126" s="225" t="s">
        <v>208</v>
      </c>
      <c r="K126" s="225"/>
      <c r="L126" s="226">
        <v>2.458E-05</v>
      </c>
      <c r="M126" s="221">
        <f t="shared" si="5"/>
      </c>
      <c r="N126" s="215"/>
      <c r="O126" s="220">
        <f>IF(RPA!C124="No Criteria","No Criteria","")</f>
      </c>
    </row>
    <row r="127" spans="1:15" ht="12.75">
      <c r="A127" s="239" t="s">
        <v>182</v>
      </c>
      <c r="B127" s="182" t="s">
        <v>234</v>
      </c>
      <c r="C127" s="246" t="s">
        <v>37</v>
      </c>
      <c r="D127" s="226" t="s">
        <v>208</v>
      </c>
      <c r="E127"/>
      <c r="F127" s="299">
        <v>0.000651</v>
      </c>
      <c r="G127" s="222">
        <f t="shared" si="4"/>
      </c>
      <c r="H127" s="215"/>
      <c r="I127" s="416" t="s">
        <v>208</v>
      </c>
      <c r="J127" s="225"/>
      <c r="K127" s="225"/>
      <c r="L127" s="241"/>
      <c r="M127" s="221">
        <f>IF(I127="","Check input",IF(I127="Y",IF(J127="","Check input",IF(J127="Y",IF(K127="","Check input",IF(L127="","","Check input")),IF(K127="",IF(L127="","Check input",""),"Check input"))),IF(J127="",IF(K127="",IF(L127="","","Check input"),"Check input"),"Check input")))</f>
      </c>
      <c r="N127" s="215"/>
      <c r="O127" s="220">
        <f>IF(RPA!C125="No Criteria","No Criteria","")</f>
      </c>
    </row>
    <row r="128" spans="1:15" ht="12.75">
      <c r="A128" s="223">
        <v>126</v>
      </c>
      <c r="B128" s="224" t="s">
        <v>20</v>
      </c>
      <c r="C128" s="246" t="str">
        <f t="shared" si="3"/>
        <v>Y</v>
      </c>
      <c r="D128" s="362" t="s">
        <v>37</v>
      </c>
      <c r="E128">
        <v>0.05</v>
      </c>
      <c r="F128" s="299"/>
      <c r="G128" s="222">
        <f t="shared" si="4"/>
      </c>
      <c r="H128" s="215"/>
      <c r="I128" s="416" t="s">
        <v>208</v>
      </c>
      <c r="J128" s="235"/>
      <c r="K128" s="235"/>
      <c r="L128" s="241"/>
      <c r="M128" s="221">
        <f t="shared" si="5"/>
      </c>
      <c r="N128" s="215"/>
      <c r="O128" s="220">
        <f>IF(RPA!C126="No Criteria","No Criteria","")</f>
      </c>
    </row>
    <row r="129" spans="1:15" ht="12.75">
      <c r="A129" s="227"/>
      <c r="B129" s="236" t="s">
        <v>235</v>
      </c>
      <c r="C129" s="246">
        <f t="shared" si="3"/>
      </c>
      <c r="D129" s="226"/>
      <c r="E129" s="362"/>
      <c r="F129" s="299"/>
      <c r="G129" s="222" t="str">
        <f t="shared" si="4"/>
        <v>Check input</v>
      </c>
      <c r="H129" s="237"/>
      <c r="I129" s="416" t="s">
        <v>37</v>
      </c>
      <c r="J129" s="235" t="s">
        <v>37</v>
      </c>
      <c r="K129" s="244">
        <v>0.001</v>
      </c>
      <c r="L129" s="226"/>
      <c r="M129" s="221">
        <f t="shared" si="5"/>
      </c>
      <c r="N129" s="237"/>
      <c r="O129" s="220">
        <f>IF(RPA!C127="No Criteria","No Criteria","")</f>
      </c>
    </row>
    <row r="130" spans="1:15" ht="12.75">
      <c r="A130" s="277"/>
      <c r="B130" s="277" t="s">
        <v>269</v>
      </c>
      <c r="C130" s="246" t="s">
        <v>37</v>
      </c>
      <c r="D130" s="227" t="s">
        <v>37</v>
      </c>
      <c r="E130" s="363">
        <v>0.1</v>
      </c>
      <c r="F130" s="364"/>
      <c r="G130" s="277">
        <f t="shared" si="4"/>
      </c>
      <c r="H130" s="296"/>
      <c r="I130" s="293" t="s">
        <v>37</v>
      </c>
      <c r="J130" s="293" t="s">
        <v>208</v>
      </c>
      <c r="K130" s="86"/>
      <c r="L130" s="78">
        <v>0.26</v>
      </c>
      <c r="M130" s="277"/>
      <c r="N130" s="278"/>
      <c r="O130" s="277"/>
    </row>
    <row r="131" spans="2:12" ht="12.75">
      <c r="B131" s="205" t="s">
        <v>274</v>
      </c>
      <c r="C131" s="294"/>
      <c r="D131" s="294" t="s">
        <v>303</v>
      </c>
      <c r="E131" s="205">
        <v>0.05</v>
      </c>
      <c r="I131" s="293"/>
      <c r="J131" s="293"/>
      <c r="K131" s="86"/>
      <c r="L131" s="78"/>
    </row>
    <row r="132" spans="2:15" ht="12.75">
      <c r="B132" s="205" t="s">
        <v>275</v>
      </c>
      <c r="C132" s="238"/>
      <c r="D132" s="238" t="s">
        <v>303</v>
      </c>
      <c r="E132" s="238">
        <v>0.05</v>
      </c>
      <c r="F132" s="300"/>
      <c r="G132" s="238"/>
      <c r="H132" s="238"/>
      <c r="I132" s="238"/>
      <c r="J132" s="238"/>
      <c r="K132" s="238"/>
      <c r="L132" s="238"/>
      <c r="M132" s="238"/>
      <c r="N132" s="238"/>
      <c r="O132" s="238"/>
    </row>
    <row r="135" ht="12.75">
      <c r="B135" s="205" t="s">
        <v>376</v>
      </c>
    </row>
  </sheetData>
  <mergeCells count="12">
    <mergeCell ref="K6:K7"/>
    <mergeCell ref="O6:O7"/>
    <mergeCell ref="C5:G5"/>
    <mergeCell ref="I5:M5"/>
    <mergeCell ref="E6:E7"/>
    <mergeCell ref="F6:F7"/>
    <mergeCell ref="I6:I7"/>
    <mergeCell ref="J6:J7"/>
    <mergeCell ref="A6:A7"/>
    <mergeCell ref="B6:B7"/>
    <mergeCell ref="C6:C7"/>
    <mergeCell ref="D6:D7"/>
  </mergeCells>
  <conditionalFormatting sqref="D8:D130">
    <cfRule type="cellIs" priority="1" dxfId="0" operator="equal" stopIfTrue="1">
      <formula>"Y"</formula>
    </cfRule>
  </conditionalFormatting>
  <printOptions/>
  <pageMargins left="1" right="0.75" top="0.75" bottom="0.5" header="0.5" footer="0.5"/>
  <pageSetup horizontalDpi="600" verticalDpi="600" orientation="landscape" scale="55" r:id="rId3"/>
  <headerFooter alignWithMargins="0">
    <oddHeader>&amp;CChevron Richmond Refinery
NPDES Permit Reissurance
Data Input for RPA
</oddHeader>
    <oddFooter>&amp;L&amp;A&amp;C&amp;P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5" sqref="A45"/>
    </sheetView>
  </sheetViews>
  <sheetFormatPr defaultColWidth="9.140625" defaultRowHeight="12.75"/>
  <cols>
    <col min="1" max="1" width="9.421875" style="0" bestFit="1" customWidth="1"/>
    <col min="2" max="2" width="12.140625" style="0" bestFit="1" customWidth="1"/>
    <col min="3" max="5" width="12.140625" style="0" customWidth="1"/>
    <col min="6" max="6" width="8.7109375" style="0" customWidth="1"/>
    <col min="7" max="27" width="8.8515625" style="0" customWidth="1"/>
    <col min="28" max="28" width="10.421875" style="0" bestFit="1" customWidth="1"/>
    <col min="29" max="29" width="11.421875" style="0" bestFit="1" customWidth="1"/>
    <col min="30" max="16384" width="8.8515625" style="0" customWidth="1"/>
  </cols>
  <sheetData>
    <row r="1" spans="1:8" ht="12.75">
      <c r="A1" t="s">
        <v>371</v>
      </c>
      <c r="B1" t="s">
        <v>255</v>
      </c>
      <c r="C1" t="s">
        <v>88</v>
      </c>
      <c r="D1" t="s">
        <v>93</v>
      </c>
      <c r="E1" t="s">
        <v>371</v>
      </c>
      <c r="F1" t="s">
        <v>87</v>
      </c>
      <c r="G1" t="s">
        <v>371</v>
      </c>
      <c r="H1" t="s">
        <v>89</v>
      </c>
    </row>
    <row r="2" spans="1:8" ht="12.75">
      <c r="A2" s="424">
        <v>37628</v>
      </c>
      <c r="B2" s="294">
        <v>2.95</v>
      </c>
      <c r="C2" s="294">
        <v>20.2</v>
      </c>
      <c r="D2" s="294">
        <v>1.5</v>
      </c>
      <c r="E2" s="424">
        <v>37628</v>
      </c>
      <c r="F2" s="294">
        <v>0.0123</v>
      </c>
      <c r="G2" s="424">
        <v>37628</v>
      </c>
      <c r="H2" s="294">
        <v>5.16</v>
      </c>
    </row>
    <row r="3" spans="1:8" ht="12.75">
      <c r="A3" s="424">
        <v>37657</v>
      </c>
      <c r="B3" s="294">
        <v>2.2</v>
      </c>
      <c r="C3" s="294">
        <v>22.3</v>
      </c>
      <c r="D3" s="294">
        <v>1.5</v>
      </c>
      <c r="E3" s="424">
        <v>37634</v>
      </c>
      <c r="F3" s="294">
        <v>0.016</v>
      </c>
      <c r="G3" s="424">
        <v>37636</v>
      </c>
      <c r="H3" s="294">
        <v>4.52</v>
      </c>
    </row>
    <row r="4" spans="1:8" ht="12.75">
      <c r="A4" s="424">
        <v>37685</v>
      </c>
      <c r="B4" s="294">
        <v>1.39</v>
      </c>
      <c r="C4" s="294">
        <v>16.9</v>
      </c>
      <c r="D4" s="294">
        <v>1.5</v>
      </c>
      <c r="E4" s="424">
        <v>37635</v>
      </c>
      <c r="F4" s="294">
        <v>0.015</v>
      </c>
      <c r="G4" s="424">
        <v>37644</v>
      </c>
      <c r="H4" s="294">
        <v>11.1</v>
      </c>
    </row>
    <row r="5" spans="1:8" ht="12.75">
      <c r="A5" s="424">
        <v>37713</v>
      </c>
      <c r="B5" s="294">
        <v>1.81</v>
      </c>
      <c r="C5" s="294">
        <v>14.4</v>
      </c>
      <c r="D5" s="294">
        <v>1.5</v>
      </c>
      <c r="E5" s="424">
        <v>37636</v>
      </c>
      <c r="F5" s="294">
        <v>0.011</v>
      </c>
      <c r="G5" s="424">
        <v>37649</v>
      </c>
      <c r="H5" s="294">
        <v>6.6</v>
      </c>
    </row>
    <row r="6" spans="1:8" ht="12.75">
      <c r="A6" s="424">
        <v>37747</v>
      </c>
      <c r="B6" s="294">
        <v>2.05</v>
      </c>
      <c r="C6" s="294">
        <v>18.7</v>
      </c>
      <c r="D6" s="294">
        <v>1.5</v>
      </c>
      <c r="E6" s="424">
        <v>37637</v>
      </c>
      <c r="F6" s="294">
        <v>0.011</v>
      </c>
      <c r="G6" s="424">
        <v>37657</v>
      </c>
      <c r="H6" s="294">
        <v>3.64</v>
      </c>
    </row>
    <row r="7" spans="1:8" ht="12.75">
      <c r="A7" s="424">
        <v>37775</v>
      </c>
      <c r="B7" s="294">
        <v>3.54</v>
      </c>
      <c r="C7" s="294">
        <v>26.3</v>
      </c>
      <c r="D7" s="294">
        <v>1.5</v>
      </c>
      <c r="E7" s="424">
        <v>37643</v>
      </c>
      <c r="F7" s="294">
        <v>0.011</v>
      </c>
      <c r="G7" s="424">
        <v>37665</v>
      </c>
      <c r="H7" s="294">
        <v>14.4</v>
      </c>
    </row>
    <row r="8" spans="1:8" ht="12.75">
      <c r="A8" s="424">
        <v>37810</v>
      </c>
      <c r="B8" s="294">
        <v>2.57</v>
      </c>
      <c r="C8" s="294">
        <v>23.2</v>
      </c>
      <c r="D8" s="294">
        <v>1.5</v>
      </c>
      <c r="E8" s="424">
        <v>37650</v>
      </c>
      <c r="F8" s="294">
        <v>0.012</v>
      </c>
      <c r="G8" s="424">
        <v>37670</v>
      </c>
      <c r="H8" s="294">
        <v>13.2</v>
      </c>
    </row>
    <row r="9" spans="1:8" ht="12.75">
      <c r="A9" s="424">
        <v>37838</v>
      </c>
      <c r="B9" s="294">
        <v>2.89</v>
      </c>
      <c r="C9" s="294">
        <v>19.7</v>
      </c>
      <c r="D9" s="294">
        <v>1.5</v>
      </c>
      <c r="E9" s="424">
        <v>37656</v>
      </c>
      <c r="F9" s="294">
        <v>0.01</v>
      </c>
      <c r="G9" s="424">
        <v>37678</v>
      </c>
      <c r="H9" s="294">
        <v>9.47</v>
      </c>
    </row>
    <row r="10" spans="1:8" ht="12.75">
      <c r="A10" s="424">
        <v>37867</v>
      </c>
      <c r="B10" s="294">
        <v>1.83</v>
      </c>
      <c r="C10" s="294">
        <v>15</v>
      </c>
      <c r="D10" s="294">
        <v>1.5</v>
      </c>
      <c r="E10" s="424">
        <v>37664</v>
      </c>
      <c r="F10" s="294">
        <v>0.0088</v>
      </c>
      <c r="G10" s="424">
        <v>37686</v>
      </c>
      <c r="H10" s="294">
        <v>9.62</v>
      </c>
    </row>
    <row r="11" spans="1:8" ht="12.75">
      <c r="A11" s="424">
        <v>37896</v>
      </c>
      <c r="B11" s="294">
        <v>6.5</v>
      </c>
      <c r="C11" s="294">
        <v>14.9</v>
      </c>
      <c r="D11" s="294">
        <v>1.5</v>
      </c>
      <c r="E11" s="424">
        <v>37672</v>
      </c>
      <c r="F11" s="294">
        <v>0.0081</v>
      </c>
      <c r="G11" s="424">
        <v>37691</v>
      </c>
      <c r="H11" s="294">
        <v>10.9</v>
      </c>
    </row>
    <row r="12" spans="1:8" ht="12.75">
      <c r="A12" s="424">
        <v>37929</v>
      </c>
      <c r="B12" s="294">
        <v>0.5</v>
      </c>
      <c r="C12" s="294">
        <v>19.8</v>
      </c>
      <c r="D12" s="294">
        <v>1.5</v>
      </c>
      <c r="E12" s="424">
        <v>37678</v>
      </c>
      <c r="F12" s="294">
        <v>0.11</v>
      </c>
      <c r="G12" s="424">
        <v>37699</v>
      </c>
      <c r="H12" s="294">
        <v>6.14</v>
      </c>
    </row>
    <row r="13" spans="1:8" ht="12.75">
      <c r="A13" s="424">
        <v>37959</v>
      </c>
      <c r="B13" s="294">
        <v>2.05</v>
      </c>
      <c r="C13" s="294">
        <v>18.3</v>
      </c>
      <c r="D13" s="294">
        <v>1.5</v>
      </c>
      <c r="E13" s="424">
        <v>37685</v>
      </c>
      <c r="F13" s="294">
        <v>0.0067</v>
      </c>
      <c r="G13" s="424">
        <v>37707</v>
      </c>
      <c r="H13" s="294">
        <v>3.46</v>
      </c>
    </row>
    <row r="14" spans="1:8" ht="12.75">
      <c r="A14" s="424">
        <v>37992</v>
      </c>
      <c r="B14" s="294">
        <v>3.95</v>
      </c>
      <c r="C14" s="294">
        <v>27.4</v>
      </c>
      <c r="D14" s="294">
        <v>1.5</v>
      </c>
      <c r="E14" s="424">
        <v>37713</v>
      </c>
      <c r="F14" s="294">
        <v>0.0012</v>
      </c>
      <c r="G14" s="424">
        <v>37713</v>
      </c>
      <c r="H14" s="294">
        <v>5.08</v>
      </c>
    </row>
    <row r="15" spans="1:8" ht="12.75">
      <c r="A15" s="424">
        <v>38021</v>
      </c>
      <c r="B15" s="294">
        <v>3.06</v>
      </c>
      <c r="C15" s="294">
        <v>22.9</v>
      </c>
      <c r="D15" s="294">
        <v>1.5</v>
      </c>
      <c r="E15" s="424">
        <v>37747</v>
      </c>
      <c r="F15" s="294">
        <v>0.001</v>
      </c>
      <c r="G15" s="424">
        <v>37721</v>
      </c>
      <c r="H15" s="294">
        <v>12.7</v>
      </c>
    </row>
    <row r="16" spans="1:8" ht="12.75">
      <c r="A16" s="424">
        <v>38050</v>
      </c>
      <c r="B16" s="294">
        <v>3.98</v>
      </c>
      <c r="C16" s="294">
        <v>23.7</v>
      </c>
      <c r="D16" s="294">
        <v>1.5</v>
      </c>
      <c r="E16" s="424">
        <v>37774</v>
      </c>
      <c r="F16" s="294">
        <v>0.0098</v>
      </c>
      <c r="G16" s="424">
        <v>37726</v>
      </c>
      <c r="H16" s="294">
        <v>11.2</v>
      </c>
    </row>
    <row r="17" spans="1:8" ht="12.75">
      <c r="A17" s="424">
        <v>38084</v>
      </c>
      <c r="B17" s="294">
        <v>1.83</v>
      </c>
      <c r="C17" s="294">
        <v>13.4</v>
      </c>
      <c r="D17" s="294">
        <v>1.5</v>
      </c>
      <c r="E17" s="424">
        <v>37809</v>
      </c>
      <c r="F17" s="294">
        <v>0.008</v>
      </c>
      <c r="G17" s="424">
        <v>37734</v>
      </c>
      <c r="H17" s="294">
        <v>9.78</v>
      </c>
    </row>
    <row r="18" spans="1:8" ht="12.75">
      <c r="A18" s="424">
        <v>38113</v>
      </c>
      <c r="B18" s="294">
        <v>2.81</v>
      </c>
      <c r="C18" s="294">
        <v>15.4</v>
      </c>
      <c r="D18" s="294">
        <v>1.5</v>
      </c>
      <c r="E18" s="424">
        <v>37837</v>
      </c>
      <c r="F18" s="294">
        <v>0.0064</v>
      </c>
      <c r="G18" s="424">
        <v>37742</v>
      </c>
      <c r="H18" s="294">
        <v>10.8</v>
      </c>
    </row>
    <row r="19" spans="1:8" ht="12.75">
      <c r="A19" s="424">
        <v>38140</v>
      </c>
      <c r="B19" s="294">
        <v>1.05</v>
      </c>
      <c r="C19" s="294">
        <v>15.1</v>
      </c>
      <c r="D19" s="294">
        <v>1.5</v>
      </c>
      <c r="E19" s="424">
        <v>37867</v>
      </c>
      <c r="F19" s="294">
        <v>0.0098</v>
      </c>
      <c r="G19" s="424">
        <v>37747</v>
      </c>
      <c r="H19" s="294">
        <v>10.4</v>
      </c>
    </row>
    <row r="20" spans="1:8" ht="12.75">
      <c r="A20" s="424">
        <v>38176</v>
      </c>
      <c r="B20" s="294">
        <v>2.87</v>
      </c>
      <c r="C20" s="294">
        <v>17.4</v>
      </c>
      <c r="D20" s="294">
        <v>1.5</v>
      </c>
      <c r="E20" s="424">
        <v>37895</v>
      </c>
      <c r="F20" s="294">
        <v>0.005</v>
      </c>
      <c r="G20" s="424">
        <v>37754</v>
      </c>
      <c r="H20" s="294">
        <v>13.98</v>
      </c>
    </row>
    <row r="21" spans="1:8" ht="12.75">
      <c r="A21" s="424">
        <v>38204</v>
      </c>
      <c r="B21" s="294">
        <v>0.73</v>
      </c>
      <c r="C21" s="294">
        <v>11.5</v>
      </c>
      <c r="D21" s="294">
        <v>1.5</v>
      </c>
      <c r="E21" s="424">
        <v>37928</v>
      </c>
      <c r="F21" s="294">
        <v>0.0082</v>
      </c>
      <c r="G21" s="424">
        <v>37762</v>
      </c>
      <c r="H21" s="294">
        <v>14.4</v>
      </c>
    </row>
    <row r="22" spans="1:8" ht="12.75">
      <c r="A22" s="424">
        <v>38238</v>
      </c>
      <c r="B22" s="294">
        <v>2.08</v>
      </c>
      <c r="C22" s="294">
        <v>15.2</v>
      </c>
      <c r="D22" s="294">
        <v>1.5</v>
      </c>
      <c r="E22" s="424">
        <v>37958</v>
      </c>
      <c r="F22" s="294">
        <v>0.018</v>
      </c>
      <c r="G22" s="424">
        <v>37768</v>
      </c>
      <c r="H22" s="294">
        <v>17.1</v>
      </c>
    </row>
    <row r="23" spans="1:8" ht="12.75">
      <c r="A23" s="424">
        <v>38267</v>
      </c>
      <c r="B23" s="294">
        <v>0.64</v>
      </c>
      <c r="C23" s="294">
        <v>19.9</v>
      </c>
      <c r="D23" s="294">
        <v>1.5</v>
      </c>
      <c r="E23" s="424">
        <v>37992</v>
      </c>
      <c r="F23" s="294">
        <v>0.015</v>
      </c>
      <c r="G23" s="424">
        <v>37774</v>
      </c>
      <c r="H23" s="294">
        <v>15.9</v>
      </c>
    </row>
    <row r="24" spans="1:8" ht="12.75">
      <c r="A24" s="424">
        <v>38293</v>
      </c>
      <c r="B24" s="294">
        <v>3.09</v>
      </c>
      <c r="C24" s="294">
        <v>18.7</v>
      </c>
      <c r="D24" s="294">
        <v>1.5</v>
      </c>
      <c r="E24" s="424">
        <v>38020</v>
      </c>
      <c r="F24" s="294">
        <v>0.0086</v>
      </c>
      <c r="G24" s="424">
        <v>37782</v>
      </c>
      <c r="H24" s="294">
        <v>12.7</v>
      </c>
    </row>
    <row r="25" spans="1:8" ht="12.75">
      <c r="A25" s="424">
        <v>38327</v>
      </c>
      <c r="B25" s="294">
        <v>1.22</v>
      </c>
      <c r="C25" s="294">
        <v>15.1</v>
      </c>
      <c r="D25" s="294">
        <v>1.5</v>
      </c>
      <c r="E25" s="424">
        <v>38049</v>
      </c>
      <c r="F25" s="294">
        <v>0.013</v>
      </c>
      <c r="G25" s="424">
        <v>37791</v>
      </c>
      <c r="H25" s="294">
        <v>15.1</v>
      </c>
    </row>
    <row r="26" spans="1:8" ht="12.75">
      <c r="A26" s="424">
        <v>38358</v>
      </c>
      <c r="B26" s="294">
        <v>0.76</v>
      </c>
      <c r="C26" s="294">
        <v>37.8</v>
      </c>
      <c r="D26" s="294">
        <v>1.5</v>
      </c>
      <c r="E26" s="424">
        <v>38083</v>
      </c>
      <c r="F26" s="294">
        <v>0.006</v>
      </c>
      <c r="G26" s="424">
        <v>37796</v>
      </c>
      <c r="H26" s="294">
        <v>14</v>
      </c>
    </row>
    <row r="27" spans="1:8" ht="12.75">
      <c r="A27" s="424">
        <v>38386</v>
      </c>
      <c r="B27" s="294">
        <v>6.73</v>
      </c>
      <c r="C27" s="294">
        <v>17</v>
      </c>
      <c r="D27" s="294">
        <v>4.8</v>
      </c>
      <c r="E27" s="424">
        <v>38112</v>
      </c>
      <c r="F27" s="294">
        <v>0.0089</v>
      </c>
      <c r="G27" s="424">
        <v>37805</v>
      </c>
      <c r="H27" s="294">
        <v>16.6</v>
      </c>
    </row>
    <row r="28" spans="1:8" ht="12.75">
      <c r="A28" s="424">
        <v>38414</v>
      </c>
      <c r="B28" s="294">
        <v>4.88</v>
      </c>
      <c r="C28" s="294">
        <v>19.5</v>
      </c>
      <c r="D28" s="294">
        <v>1.5</v>
      </c>
      <c r="E28" s="424">
        <v>38139</v>
      </c>
      <c r="F28" s="294">
        <v>0.0087</v>
      </c>
      <c r="G28" s="424">
        <v>37810</v>
      </c>
      <c r="H28" s="294">
        <v>19.8</v>
      </c>
    </row>
    <row r="29" spans="1:8" ht="12.75">
      <c r="A29" s="424">
        <v>38450</v>
      </c>
      <c r="B29" s="294">
        <v>2.17</v>
      </c>
      <c r="C29" s="294">
        <v>15.6</v>
      </c>
      <c r="D29" s="294">
        <v>1.5</v>
      </c>
      <c r="E29" s="424">
        <v>38174</v>
      </c>
      <c r="F29" s="294">
        <v>0.015</v>
      </c>
      <c r="G29" s="424">
        <v>37817</v>
      </c>
      <c r="H29" s="294">
        <v>13.9</v>
      </c>
    </row>
    <row r="30" spans="1:12" s="3" customFormat="1" ht="12.75">
      <c r="A30" s="424">
        <v>38478</v>
      </c>
      <c r="B30" s="294">
        <v>2.96</v>
      </c>
      <c r="C30" s="294">
        <v>16.9</v>
      </c>
      <c r="D30" s="294">
        <v>4.2</v>
      </c>
      <c r="E30" s="424">
        <v>38204</v>
      </c>
      <c r="F30" s="294">
        <v>0.0086</v>
      </c>
      <c r="G30" s="424">
        <v>37825</v>
      </c>
      <c r="H30" s="294">
        <v>15</v>
      </c>
      <c r="I30"/>
      <c r="J30"/>
      <c r="K30"/>
      <c r="L30"/>
    </row>
    <row r="31" spans="1:12" s="3" customFormat="1" ht="12.75">
      <c r="A31" s="424">
        <v>38506</v>
      </c>
      <c r="B31" s="294">
        <v>2.25</v>
      </c>
      <c r="C31" s="294">
        <v>15</v>
      </c>
      <c r="D31" s="294">
        <v>1.7</v>
      </c>
      <c r="E31" s="424">
        <v>38238</v>
      </c>
      <c r="F31" s="294">
        <v>0.0078</v>
      </c>
      <c r="G31" s="424">
        <v>37832</v>
      </c>
      <c r="H31" s="294">
        <v>18.9</v>
      </c>
      <c r="I31"/>
      <c r="J31"/>
      <c r="K31"/>
      <c r="L31"/>
    </row>
    <row r="32" spans="1:8" ht="12.75">
      <c r="A32" s="424">
        <v>38539</v>
      </c>
      <c r="B32" s="294">
        <v>2.45</v>
      </c>
      <c r="C32" s="294">
        <v>16.9</v>
      </c>
      <c r="D32" s="294">
        <v>1.9</v>
      </c>
      <c r="E32" s="424">
        <v>38267</v>
      </c>
      <c r="F32" s="294">
        <v>0.0065</v>
      </c>
      <c r="G32" s="424">
        <v>37838</v>
      </c>
      <c r="H32" s="294">
        <v>17.1</v>
      </c>
    </row>
    <row r="33" spans="1:8" ht="12.75">
      <c r="A33" s="424">
        <v>38566</v>
      </c>
      <c r="B33" s="294">
        <v>2.22</v>
      </c>
      <c r="C33" s="294">
        <v>14.2</v>
      </c>
      <c r="D33" s="294">
        <v>3.5</v>
      </c>
      <c r="E33" s="424">
        <v>38293</v>
      </c>
      <c r="F33" s="294">
        <v>0.012</v>
      </c>
      <c r="G33" s="424">
        <v>37846</v>
      </c>
      <c r="H33" s="294">
        <v>14.2</v>
      </c>
    </row>
    <row r="34" spans="1:8" ht="12.75">
      <c r="A34" s="424">
        <v>38603</v>
      </c>
      <c r="B34" s="294">
        <v>1.68</v>
      </c>
      <c r="C34" s="294">
        <v>16</v>
      </c>
      <c r="D34" s="294">
        <v>3.3</v>
      </c>
      <c r="E34" s="424">
        <v>38327</v>
      </c>
      <c r="F34" s="294">
        <v>0.012</v>
      </c>
      <c r="G34" s="424">
        <v>37854</v>
      </c>
      <c r="H34" s="294">
        <v>12.7</v>
      </c>
    </row>
    <row r="35" spans="1:8" ht="12.75">
      <c r="A35" s="424">
        <v>38631</v>
      </c>
      <c r="B35" s="294">
        <v>3.17</v>
      </c>
      <c r="C35" s="294">
        <v>13</v>
      </c>
      <c r="D35" s="294">
        <v>1.7</v>
      </c>
      <c r="E35" s="424">
        <v>38358</v>
      </c>
      <c r="F35" s="294">
        <v>0.02</v>
      </c>
      <c r="G35" s="424">
        <v>37859</v>
      </c>
      <c r="H35" s="294">
        <v>11.8</v>
      </c>
    </row>
    <row r="36" spans="1:29" ht="12.75">
      <c r="A36" s="424">
        <v>38659</v>
      </c>
      <c r="B36" s="294">
        <v>3.33</v>
      </c>
      <c r="C36" s="294">
        <v>14</v>
      </c>
      <c r="D36" s="294">
        <v>1.4</v>
      </c>
      <c r="E36" s="424">
        <v>38385</v>
      </c>
      <c r="F36" s="294">
        <v>0.014</v>
      </c>
      <c r="G36" s="424">
        <v>37867</v>
      </c>
      <c r="H36" s="294">
        <v>20.7</v>
      </c>
      <c r="Z36" s="9"/>
      <c r="AA36" s="9"/>
      <c r="AB36" s="3"/>
      <c r="AC36" s="3"/>
    </row>
    <row r="37" spans="1:29" ht="12.75">
      <c r="A37" s="424">
        <v>38692</v>
      </c>
      <c r="B37" s="294">
        <v>4.7</v>
      </c>
      <c r="C37" s="294">
        <v>28</v>
      </c>
      <c r="D37" s="294">
        <v>1.8</v>
      </c>
      <c r="E37" s="424">
        <v>38414</v>
      </c>
      <c r="F37" s="294">
        <v>0.026</v>
      </c>
      <c r="G37" s="424">
        <v>37875</v>
      </c>
      <c r="H37" s="294">
        <v>22.1</v>
      </c>
      <c r="AB37" s="3"/>
      <c r="AC37" s="3"/>
    </row>
    <row r="38" spans="5:29" ht="12.75">
      <c r="E38" s="424">
        <v>38450</v>
      </c>
      <c r="F38" s="294">
        <v>0.019</v>
      </c>
      <c r="G38" s="424">
        <v>37880</v>
      </c>
      <c r="H38" s="294">
        <v>21.8</v>
      </c>
      <c r="AB38" s="3"/>
      <c r="AC38" s="3"/>
    </row>
    <row r="39" spans="1:29" ht="12.75">
      <c r="A39" t="s">
        <v>256</v>
      </c>
      <c r="B39">
        <f>AVERAGE(B2:B37)</f>
        <v>2.635833333333333</v>
      </c>
      <c r="C39">
        <f>AVERAGE(C2:C37)</f>
        <v>18.591666666666665</v>
      </c>
      <c r="D39">
        <f>AVERAGE(D2:D37)</f>
        <v>1.7999999999999998</v>
      </c>
      <c r="E39" s="424">
        <v>38478</v>
      </c>
      <c r="F39" s="294">
        <v>0.015</v>
      </c>
      <c r="G39" s="424">
        <v>37888</v>
      </c>
      <c r="H39" s="294">
        <v>6.27</v>
      </c>
      <c r="AB39" s="3"/>
      <c r="AC39" s="3"/>
    </row>
    <row r="40" spans="1:29" ht="12.75">
      <c r="A40" t="s">
        <v>372</v>
      </c>
      <c r="B40">
        <f>STDEV(B2:B37)</f>
        <v>1.4469107485555979</v>
      </c>
      <c r="C40">
        <f>STDEV(C2:C37)</f>
        <v>5.243247357997043</v>
      </c>
      <c r="D40">
        <f>STDEV(D2:D37)</f>
        <v>0.8021399949064822</v>
      </c>
      <c r="E40" s="424">
        <v>38505</v>
      </c>
      <c r="F40" s="294">
        <v>0.007</v>
      </c>
      <c r="G40" s="424">
        <v>37896</v>
      </c>
      <c r="H40" s="294">
        <v>6.25</v>
      </c>
      <c r="AB40" s="3"/>
      <c r="AC40" s="3"/>
    </row>
    <row r="41" spans="1:29" ht="12.75">
      <c r="A41" t="s">
        <v>373</v>
      </c>
      <c r="B41">
        <f>B40/B39</f>
        <v>0.5489386336600436</v>
      </c>
      <c r="C41">
        <f>C40/C39</f>
        <v>0.2820213729088504</v>
      </c>
      <c r="D41">
        <f>D40/D39</f>
        <v>0.44563333050360127</v>
      </c>
      <c r="E41" s="424">
        <v>38506</v>
      </c>
      <c r="F41" s="294">
        <v>0.007</v>
      </c>
      <c r="G41" s="424">
        <v>37901</v>
      </c>
      <c r="H41" s="294">
        <v>5.63</v>
      </c>
      <c r="AB41" s="3"/>
      <c r="AC41" s="3"/>
    </row>
    <row r="42" spans="1:29" ht="12.75">
      <c r="A42" t="s">
        <v>374</v>
      </c>
      <c r="B42">
        <v>0.549</v>
      </c>
      <c r="C42">
        <v>0.282</v>
      </c>
      <c r="D42">
        <v>0.446</v>
      </c>
      <c r="E42" s="424">
        <v>38539</v>
      </c>
      <c r="F42" s="294">
        <v>0.0063</v>
      </c>
      <c r="G42" s="424">
        <v>37909</v>
      </c>
      <c r="H42" s="294">
        <v>8.97</v>
      </c>
      <c r="AB42" s="3"/>
      <c r="AC42" s="3"/>
    </row>
    <row r="43" spans="5:29" ht="12.75">
      <c r="E43" s="424">
        <v>38566</v>
      </c>
      <c r="F43" s="294">
        <v>0.0082</v>
      </c>
      <c r="G43" s="424">
        <v>37917</v>
      </c>
      <c r="H43" s="294">
        <v>6.12</v>
      </c>
      <c r="AB43" s="3"/>
      <c r="AC43" s="3"/>
    </row>
    <row r="44" spans="5:29" ht="12.75">
      <c r="E44" s="424">
        <v>38603</v>
      </c>
      <c r="F44" s="294">
        <v>0.0098</v>
      </c>
      <c r="G44" s="424">
        <v>37922</v>
      </c>
      <c r="H44" s="294">
        <v>4.84</v>
      </c>
      <c r="AB44" s="3"/>
      <c r="AC44" s="3"/>
    </row>
    <row r="45" spans="5:29" ht="12.75">
      <c r="E45" s="424">
        <v>38631</v>
      </c>
      <c r="F45" s="294">
        <v>0.013</v>
      </c>
      <c r="G45" s="424">
        <v>37930</v>
      </c>
      <c r="H45" s="294">
        <v>6.98</v>
      </c>
      <c r="AB45" s="3"/>
      <c r="AC45" s="3"/>
    </row>
    <row r="46" spans="5:29" ht="12.75">
      <c r="E46" s="424">
        <v>38659</v>
      </c>
      <c r="F46" s="294">
        <v>0.0059</v>
      </c>
      <c r="G46" s="424">
        <v>37938</v>
      </c>
      <c r="H46" s="294">
        <v>6.12</v>
      </c>
      <c r="AB46" s="3"/>
      <c r="AC46" s="3"/>
    </row>
    <row r="47" spans="5:29" ht="12.75">
      <c r="E47" s="424">
        <v>38692</v>
      </c>
      <c r="F47" s="294">
        <v>0.0275</v>
      </c>
      <c r="G47" s="424">
        <v>37943</v>
      </c>
      <c r="H47" s="294">
        <v>6.6</v>
      </c>
      <c r="AB47" s="3"/>
      <c r="AC47" s="3"/>
    </row>
    <row r="48" spans="7:29" ht="12.75">
      <c r="G48" s="424">
        <v>37951</v>
      </c>
      <c r="H48" s="294">
        <v>6.12</v>
      </c>
      <c r="AB48" s="3"/>
      <c r="AC48" s="3"/>
    </row>
    <row r="49" spans="5:29" ht="12.75">
      <c r="E49" t="s">
        <v>256</v>
      </c>
      <c r="F49">
        <f>AVERAGE(F2:F47)</f>
        <v>0.013045652173913045</v>
      </c>
      <c r="G49" s="424">
        <v>37959</v>
      </c>
      <c r="H49" s="294">
        <v>15.6</v>
      </c>
      <c r="AB49" s="3"/>
      <c r="AC49" s="3"/>
    </row>
    <row r="50" spans="5:29" ht="12.75">
      <c r="E50" t="s">
        <v>372</v>
      </c>
      <c r="F50">
        <f>STDEV(F2:F47)</f>
        <v>0.015550772849986712</v>
      </c>
      <c r="G50" s="424">
        <v>37964</v>
      </c>
      <c r="H50" s="294">
        <v>14.5</v>
      </c>
      <c r="AB50" s="3"/>
      <c r="AC50" s="3"/>
    </row>
    <row r="51" spans="5:29" ht="12.75">
      <c r="E51" t="s">
        <v>373</v>
      </c>
      <c r="F51">
        <f>F50/F49</f>
        <v>1.1920272472910993</v>
      </c>
      <c r="G51" s="424">
        <v>37972</v>
      </c>
      <c r="H51" s="294">
        <v>14</v>
      </c>
      <c r="AB51" s="3"/>
      <c r="AC51" s="3"/>
    </row>
    <row r="52" spans="5:29" ht="12.75">
      <c r="E52" t="s">
        <v>374</v>
      </c>
      <c r="F52">
        <v>1.192</v>
      </c>
      <c r="G52" s="424">
        <v>37978</v>
      </c>
      <c r="H52" s="294">
        <v>9.64</v>
      </c>
      <c r="AB52" s="3"/>
      <c r="AC52" s="3"/>
    </row>
    <row r="53" spans="7:29" ht="12.75">
      <c r="G53" s="424">
        <v>37986</v>
      </c>
      <c r="H53" s="294">
        <v>11.1</v>
      </c>
      <c r="AB53" s="3"/>
      <c r="AC53" s="3"/>
    </row>
    <row r="54" spans="7:29" ht="12.75">
      <c r="G54" s="424">
        <v>37992</v>
      </c>
      <c r="H54" s="294">
        <v>7.99</v>
      </c>
      <c r="AB54" s="3"/>
      <c r="AC54" s="3"/>
    </row>
    <row r="55" spans="7:29" ht="12.75">
      <c r="G55" s="424">
        <v>38000</v>
      </c>
      <c r="H55" s="294">
        <v>6.79</v>
      </c>
      <c r="AB55" s="3"/>
      <c r="AC55" s="3"/>
    </row>
    <row r="56" spans="7:29" ht="12.75">
      <c r="G56" s="424">
        <v>38008</v>
      </c>
      <c r="H56" s="294">
        <v>7.94</v>
      </c>
      <c r="AB56" s="3"/>
      <c r="AC56" s="3"/>
    </row>
    <row r="57" spans="7:29" ht="12.75">
      <c r="G57" s="424">
        <v>38013</v>
      </c>
      <c r="H57" s="294">
        <v>6.13</v>
      </c>
      <c r="AB57" s="3"/>
      <c r="AC57" s="3"/>
    </row>
    <row r="58" spans="7:29" ht="12.75">
      <c r="G58" s="424">
        <v>38021</v>
      </c>
      <c r="H58" s="294">
        <v>5.85</v>
      </c>
      <c r="AB58" s="3"/>
      <c r="AC58" s="3"/>
    </row>
    <row r="59" spans="7:29" ht="12.75">
      <c r="G59" s="424">
        <v>38029</v>
      </c>
      <c r="H59" s="294">
        <v>4.84</v>
      </c>
      <c r="AB59" s="3"/>
      <c r="AC59" s="3"/>
    </row>
    <row r="60" spans="7:29" ht="12.75">
      <c r="G60" s="424">
        <v>38034</v>
      </c>
      <c r="H60" s="294">
        <v>6.62</v>
      </c>
      <c r="AB60" s="3"/>
      <c r="AC60" s="3"/>
    </row>
    <row r="61" spans="7:29" ht="12.75">
      <c r="G61" s="424">
        <v>38042</v>
      </c>
      <c r="H61" s="294">
        <v>5.95</v>
      </c>
      <c r="AB61" s="3"/>
      <c r="AC61" s="3"/>
    </row>
    <row r="62" spans="7:29" ht="12.75">
      <c r="G62" s="424">
        <v>38050</v>
      </c>
      <c r="H62" s="294">
        <v>5.57</v>
      </c>
      <c r="AB62" s="3"/>
      <c r="AC62" s="3"/>
    </row>
    <row r="63" spans="7:29" ht="12.75">
      <c r="G63" s="424">
        <v>38055</v>
      </c>
      <c r="H63" s="294">
        <v>6.04</v>
      </c>
      <c r="AB63" s="3"/>
      <c r="AC63" s="3"/>
    </row>
    <row r="64" spans="7:29" ht="12.75">
      <c r="G64" s="424">
        <v>38063</v>
      </c>
      <c r="H64" s="294">
        <v>5.57</v>
      </c>
      <c r="AB64" s="3"/>
      <c r="AC64" s="3"/>
    </row>
    <row r="65" spans="7:29" ht="12.75">
      <c r="G65" s="424">
        <v>38071</v>
      </c>
      <c r="H65" s="294">
        <v>7.39</v>
      </c>
      <c r="AB65" s="3"/>
      <c r="AC65" s="3"/>
    </row>
    <row r="66" spans="7:29" ht="12.75">
      <c r="G66" s="424">
        <v>38076</v>
      </c>
      <c r="H66" s="294">
        <v>6.33</v>
      </c>
      <c r="AB66" s="3"/>
      <c r="AC66" s="3"/>
    </row>
    <row r="67" spans="7:29" ht="12.75">
      <c r="G67" s="424">
        <v>38084</v>
      </c>
      <c r="H67" s="294">
        <v>7.89</v>
      </c>
      <c r="AB67" s="3"/>
      <c r="AC67" s="3"/>
    </row>
    <row r="68" spans="7:29" ht="12.75">
      <c r="G68" s="424">
        <v>38092</v>
      </c>
      <c r="H68" s="294">
        <v>7.21</v>
      </c>
      <c r="AB68" s="3"/>
      <c r="AC68" s="3"/>
    </row>
    <row r="69" spans="7:29" ht="12.75">
      <c r="G69" s="424">
        <v>38097</v>
      </c>
      <c r="H69" s="294">
        <v>8.13</v>
      </c>
      <c r="AB69" s="3"/>
      <c r="AC69" s="3"/>
    </row>
    <row r="70" spans="7:29" ht="12.75">
      <c r="G70" s="424">
        <v>38105</v>
      </c>
      <c r="H70" s="294">
        <v>11.1</v>
      </c>
      <c r="AB70" s="3"/>
      <c r="AC70" s="3"/>
    </row>
    <row r="71" spans="7:29" ht="12.75">
      <c r="G71" s="424">
        <v>38113</v>
      </c>
      <c r="H71" s="294">
        <v>13.7</v>
      </c>
      <c r="AB71" s="3"/>
      <c r="AC71" s="3"/>
    </row>
    <row r="72" spans="7:29" ht="12.75">
      <c r="G72" s="424">
        <v>38118</v>
      </c>
      <c r="H72" s="294">
        <v>15.5</v>
      </c>
      <c r="AB72" s="3"/>
      <c r="AC72" s="3"/>
    </row>
    <row r="73" spans="7:29" ht="12.75">
      <c r="G73" s="424">
        <v>38126</v>
      </c>
      <c r="H73" s="294">
        <v>15.3</v>
      </c>
      <c r="AB73" s="3"/>
      <c r="AC73" s="3"/>
    </row>
    <row r="74" spans="7:29" ht="12.75">
      <c r="G74" s="424">
        <v>38134</v>
      </c>
      <c r="H74" s="294">
        <v>16.7</v>
      </c>
      <c r="AB74" s="3"/>
      <c r="AC74" s="3"/>
    </row>
    <row r="75" spans="7:29" ht="12.75">
      <c r="G75" s="424">
        <v>38140</v>
      </c>
      <c r="H75" s="294">
        <v>15.4</v>
      </c>
      <c r="AB75" s="3"/>
      <c r="AC75" s="3"/>
    </row>
    <row r="76" spans="7:29" ht="12.75">
      <c r="G76" s="424">
        <v>38148</v>
      </c>
      <c r="H76" s="294">
        <v>9.04</v>
      </c>
      <c r="AB76" s="3"/>
      <c r="AC76" s="3"/>
    </row>
    <row r="77" spans="7:29" ht="12.75">
      <c r="G77" s="424">
        <v>38153</v>
      </c>
      <c r="H77" s="294">
        <v>7.28</v>
      </c>
      <c r="AB77" s="3"/>
      <c r="AC77" s="3"/>
    </row>
    <row r="78" spans="7:29" ht="12.75">
      <c r="G78" s="424">
        <v>38161</v>
      </c>
      <c r="H78" s="294">
        <v>10.5</v>
      </c>
      <c r="AB78" s="3"/>
      <c r="AC78" s="3"/>
    </row>
    <row r="79" spans="7:29" ht="12.75">
      <c r="G79" s="424">
        <v>38168</v>
      </c>
      <c r="H79" s="294">
        <v>5.78</v>
      </c>
      <c r="AB79" s="3"/>
      <c r="AC79" s="3"/>
    </row>
    <row r="80" spans="7:29" ht="12.75">
      <c r="G80" s="424">
        <v>38175</v>
      </c>
      <c r="H80" s="294">
        <v>8.02</v>
      </c>
      <c r="AB80" s="3"/>
      <c r="AC80" s="3"/>
    </row>
    <row r="81" spans="7:29" ht="12.75">
      <c r="G81" s="424">
        <v>38183</v>
      </c>
      <c r="H81" s="294">
        <v>8.95</v>
      </c>
      <c r="AB81" s="3"/>
      <c r="AC81" s="3"/>
    </row>
    <row r="82" spans="7:29" ht="12.75">
      <c r="G82" s="424">
        <v>38188</v>
      </c>
      <c r="H82" s="294">
        <v>9.44</v>
      </c>
      <c r="AB82" s="3"/>
      <c r="AC82" s="3"/>
    </row>
    <row r="83" spans="7:29" ht="12.75">
      <c r="G83" s="424">
        <v>38196</v>
      </c>
      <c r="H83" s="294">
        <v>12.4</v>
      </c>
      <c r="AB83" s="3"/>
      <c r="AC83" s="3"/>
    </row>
    <row r="84" spans="7:29" ht="12.75">
      <c r="G84" s="424">
        <v>38204</v>
      </c>
      <c r="H84" s="294">
        <v>16.2</v>
      </c>
      <c r="AB84" s="3"/>
      <c r="AC84" s="3"/>
    </row>
    <row r="85" spans="7:29" ht="12.75">
      <c r="G85" s="424">
        <v>38209</v>
      </c>
      <c r="H85" s="294">
        <v>13.1</v>
      </c>
      <c r="AB85" s="3"/>
      <c r="AC85" s="3"/>
    </row>
    <row r="86" spans="7:29" ht="12.75">
      <c r="G86" s="424">
        <v>38217</v>
      </c>
      <c r="H86" s="294">
        <v>12.6</v>
      </c>
      <c r="AB86" s="3"/>
      <c r="AC86" s="3"/>
    </row>
    <row r="87" spans="7:29" ht="12.75">
      <c r="G87" s="424">
        <v>38225</v>
      </c>
      <c r="H87" s="294">
        <v>12</v>
      </c>
      <c r="AB87" s="3"/>
      <c r="AC87" s="3"/>
    </row>
    <row r="88" spans="7:29" ht="12.75">
      <c r="G88" s="424">
        <v>38230</v>
      </c>
      <c r="H88" s="294">
        <v>8.04</v>
      </c>
      <c r="AB88" s="3"/>
      <c r="AC88" s="3"/>
    </row>
    <row r="89" spans="7:29" ht="12.75">
      <c r="G89" s="424">
        <v>38238</v>
      </c>
      <c r="H89" s="294">
        <v>4.82</v>
      </c>
      <c r="AB89" s="3"/>
      <c r="AC89" s="3"/>
    </row>
    <row r="90" spans="7:29" ht="12.75">
      <c r="G90" s="424">
        <v>38246</v>
      </c>
      <c r="H90" s="294">
        <v>9.14</v>
      </c>
      <c r="AB90" s="3"/>
      <c r="AC90" s="3"/>
    </row>
    <row r="91" spans="7:29" ht="12.75">
      <c r="G91" s="424">
        <v>38252</v>
      </c>
      <c r="H91" s="294">
        <v>6.28</v>
      </c>
      <c r="AB91" s="3"/>
      <c r="AC91" s="3"/>
    </row>
    <row r="92" spans="7:29" ht="12.75">
      <c r="G92" s="424">
        <v>38259</v>
      </c>
      <c r="H92" s="294">
        <v>7.4</v>
      </c>
      <c r="AB92" s="3"/>
      <c r="AC92" s="3"/>
    </row>
    <row r="93" spans="7:29" ht="12.75">
      <c r="G93" s="424">
        <v>38267</v>
      </c>
      <c r="H93" s="294">
        <v>7.2</v>
      </c>
      <c r="AB93" s="3"/>
      <c r="AC93" s="3"/>
    </row>
    <row r="94" spans="7:29" ht="12.75">
      <c r="G94" s="424">
        <v>38272</v>
      </c>
      <c r="H94" s="294">
        <v>8.6</v>
      </c>
      <c r="AB94" s="3"/>
      <c r="AC94" s="3"/>
    </row>
    <row r="95" spans="7:29" ht="12.75">
      <c r="G95" s="424">
        <v>38280</v>
      </c>
      <c r="H95" s="294">
        <v>13</v>
      </c>
      <c r="AB95" s="3"/>
      <c r="AC95" s="3"/>
    </row>
    <row r="96" spans="7:29" ht="12.75">
      <c r="G96" s="424">
        <v>38288</v>
      </c>
      <c r="H96" s="294">
        <v>12.9</v>
      </c>
      <c r="AB96" s="3"/>
      <c r="AC96" s="3"/>
    </row>
    <row r="97" spans="7:29" ht="12.75">
      <c r="G97" s="424">
        <v>38293</v>
      </c>
      <c r="H97" s="294">
        <v>9.86</v>
      </c>
      <c r="AB97" s="3"/>
      <c r="AC97" s="3"/>
    </row>
    <row r="98" spans="7:29" ht="12.75">
      <c r="G98" s="424">
        <v>38301</v>
      </c>
      <c r="H98" s="294">
        <v>8.66</v>
      </c>
      <c r="AB98" s="3"/>
      <c r="AC98" s="3"/>
    </row>
    <row r="99" spans="7:29" ht="12.75">
      <c r="G99" s="424">
        <v>38309</v>
      </c>
      <c r="H99" s="294">
        <v>8.46</v>
      </c>
      <c r="AB99" s="3"/>
      <c r="AC99" s="3"/>
    </row>
    <row r="100" spans="7:29" ht="12.75">
      <c r="G100" s="424">
        <v>38315</v>
      </c>
      <c r="H100" s="294">
        <v>8.3</v>
      </c>
      <c r="AB100" s="3"/>
      <c r="AC100" s="3"/>
    </row>
    <row r="101" spans="7:29" ht="12.75">
      <c r="G101" s="424">
        <v>38321</v>
      </c>
      <c r="H101" s="294">
        <v>10.2</v>
      </c>
      <c r="AB101" s="3"/>
      <c r="AC101" s="3"/>
    </row>
    <row r="102" spans="7:29" ht="12.75">
      <c r="G102" s="424">
        <v>38328</v>
      </c>
      <c r="H102" s="294">
        <v>8.67</v>
      </c>
      <c r="AB102" s="3"/>
      <c r="AC102" s="3"/>
    </row>
    <row r="103" spans="7:29" ht="12.75">
      <c r="G103" s="424">
        <v>38336</v>
      </c>
      <c r="H103" s="294">
        <v>10.7</v>
      </c>
      <c r="AB103" s="3"/>
      <c r="AC103" s="3"/>
    </row>
    <row r="104" spans="7:29" ht="12.75">
      <c r="G104" s="424">
        <v>38343</v>
      </c>
      <c r="H104" s="294">
        <v>8.76</v>
      </c>
      <c r="AB104" s="3"/>
      <c r="AC104" s="3"/>
    </row>
    <row r="105" spans="7:29" ht="12.75">
      <c r="G105" s="424">
        <v>38350</v>
      </c>
      <c r="H105" s="294">
        <v>21.1</v>
      </c>
      <c r="AB105" s="3"/>
      <c r="AC105" s="3"/>
    </row>
    <row r="106" spans="7:29" ht="12.75">
      <c r="G106" s="424">
        <v>38358</v>
      </c>
      <c r="H106" s="294">
        <v>9.4</v>
      </c>
      <c r="AB106" s="3"/>
      <c r="AC106" s="3"/>
    </row>
    <row r="107" spans="7:29" ht="12.75">
      <c r="G107" s="424">
        <v>38366</v>
      </c>
      <c r="H107" s="294">
        <v>8.48</v>
      </c>
      <c r="AB107" s="3"/>
      <c r="AC107" s="3"/>
    </row>
    <row r="108" spans="7:29" ht="12.75">
      <c r="G108" s="424">
        <v>38371</v>
      </c>
      <c r="H108" s="294">
        <v>8.1</v>
      </c>
      <c r="AB108" s="3"/>
      <c r="AC108" s="3"/>
    </row>
    <row r="109" spans="7:29" ht="12.75">
      <c r="G109" s="424">
        <v>38378</v>
      </c>
      <c r="H109" s="294">
        <v>8.13</v>
      </c>
      <c r="AB109" s="3"/>
      <c r="AC109" s="3"/>
    </row>
    <row r="110" spans="7:29" ht="12.75">
      <c r="G110" s="424">
        <v>38386</v>
      </c>
      <c r="H110" s="294">
        <v>6.71</v>
      </c>
      <c r="AB110" s="3"/>
      <c r="AC110" s="3"/>
    </row>
    <row r="111" spans="7:29" ht="12.75">
      <c r="G111" s="424">
        <v>38394</v>
      </c>
      <c r="H111" s="294">
        <v>7.54</v>
      </c>
      <c r="AB111" s="3"/>
      <c r="AC111" s="3"/>
    </row>
    <row r="112" spans="7:29" ht="12.75">
      <c r="G112" s="424">
        <v>38398</v>
      </c>
      <c r="H112" s="294">
        <v>8.07</v>
      </c>
      <c r="AB112" s="3"/>
      <c r="AC112" s="3"/>
    </row>
    <row r="113" spans="7:29" ht="12.75">
      <c r="G113" s="424">
        <v>38406</v>
      </c>
      <c r="H113" s="294">
        <v>7.14</v>
      </c>
      <c r="AB113" s="3"/>
      <c r="AC113" s="3"/>
    </row>
    <row r="114" spans="7:29" ht="12.75">
      <c r="G114" s="424">
        <v>38414</v>
      </c>
      <c r="H114" s="294">
        <v>7.16</v>
      </c>
      <c r="AB114" s="3"/>
      <c r="AC114" s="3"/>
    </row>
    <row r="115" spans="7:29" ht="12.75">
      <c r="G115" s="424">
        <v>38422</v>
      </c>
      <c r="H115" s="294">
        <v>5.69</v>
      </c>
      <c r="AB115" s="3"/>
      <c r="AC115" s="3"/>
    </row>
    <row r="116" spans="7:29" ht="12.75">
      <c r="G116" s="424">
        <v>38426</v>
      </c>
      <c r="H116" s="294">
        <v>5.85</v>
      </c>
      <c r="AB116" s="3"/>
      <c r="AC116" s="3"/>
    </row>
    <row r="117" spans="2:29" ht="12.75">
      <c r="B117" s="381"/>
      <c r="C117" s="381"/>
      <c r="D117" s="381"/>
      <c r="E117" s="381"/>
      <c r="F117" s="381"/>
      <c r="G117" s="424">
        <v>38434</v>
      </c>
      <c r="H117" s="294">
        <v>13.87</v>
      </c>
      <c r="AB117" s="3"/>
      <c r="AC117" s="3"/>
    </row>
    <row r="118" spans="7:29" ht="12.75">
      <c r="G118" s="424">
        <v>38442</v>
      </c>
      <c r="H118" s="294">
        <v>9.06</v>
      </c>
      <c r="AB118" s="3"/>
      <c r="AC118" s="3"/>
    </row>
    <row r="119" spans="7:29" ht="12.75">
      <c r="G119" s="424">
        <v>38450</v>
      </c>
      <c r="H119" s="294">
        <v>18.04</v>
      </c>
      <c r="AB119" s="3"/>
      <c r="AC119" s="3"/>
    </row>
    <row r="120" spans="7:29" ht="12.75">
      <c r="G120" s="424">
        <v>38454</v>
      </c>
      <c r="H120" s="294">
        <v>14.1</v>
      </c>
      <c r="AB120" s="3"/>
      <c r="AC120" s="3"/>
    </row>
    <row r="121" spans="7:29" ht="12.75">
      <c r="G121" s="424">
        <v>38462</v>
      </c>
      <c r="H121" s="294">
        <v>14.7</v>
      </c>
      <c r="AB121" s="3"/>
      <c r="AC121" s="3"/>
    </row>
    <row r="122" spans="7:29" ht="12.75">
      <c r="G122" s="424">
        <v>38470</v>
      </c>
      <c r="H122" s="294">
        <v>14.2</v>
      </c>
      <c r="AB122" s="3"/>
      <c r="AC122" s="3"/>
    </row>
    <row r="123" spans="7:29" ht="12.75">
      <c r="G123" s="424">
        <v>38478</v>
      </c>
      <c r="H123" s="294">
        <v>14.13</v>
      </c>
      <c r="AB123" s="3"/>
      <c r="AC123" s="3"/>
    </row>
    <row r="124" spans="7:29" ht="12.75">
      <c r="G124" s="424">
        <v>38482</v>
      </c>
      <c r="H124" s="294">
        <v>9.61</v>
      </c>
      <c r="AB124" s="3"/>
      <c r="AC124" s="3"/>
    </row>
    <row r="125" spans="7:29" ht="12.75">
      <c r="G125" s="424">
        <v>38490</v>
      </c>
      <c r="H125" s="294">
        <v>6.89</v>
      </c>
      <c r="AB125" s="3"/>
      <c r="AC125" s="3"/>
    </row>
    <row r="126" spans="7:29" ht="12.75">
      <c r="G126" s="424">
        <v>38498</v>
      </c>
      <c r="H126" s="294">
        <v>4.89</v>
      </c>
      <c r="AB126" s="3"/>
      <c r="AC126" s="3"/>
    </row>
    <row r="127" spans="7:29" ht="12.75">
      <c r="G127" s="424">
        <v>38506</v>
      </c>
      <c r="H127" s="294">
        <v>11.2</v>
      </c>
      <c r="AB127" s="3"/>
      <c r="AC127" s="3"/>
    </row>
    <row r="128" spans="7:29" ht="12.75">
      <c r="G128" s="424">
        <v>38538</v>
      </c>
      <c r="H128" s="294">
        <v>11.5</v>
      </c>
      <c r="AB128" s="3"/>
      <c r="AC128" s="3"/>
    </row>
    <row r="129" spans="7:29" ht="12.75">
      <c r="G129" s="424">
        <v>38547</v>
      </c>
      <c r="H129" s="294">
        <v>8.48</v>
      </c>
      <c r="AB129" s="3"/>
      <c r="AC129" s="3"/>
    </row>
    <row r="130" spans="7:29" ht="12.75">
      <c r="G130" s="424">
        <v>38555</v>
      </c>
      <c r="H130" s="294">
        <v>11.3</v>
      </c>
      <c r="AB130" s="3"/>
      <c r="AC130" s="3"/>
    </row>
    <row r="131" spans="7:29" ht="12.75">
      <c r="G131" s="424">
        <v>38560</v>
      </c>
      <c r="H131" s="294">
        <v>13.1</v>
      </c>
      <c r="AB131" s="3"/>
      <c r="AC131" s="3"/>
    </row>
    <row r="132" spans="7:29" ht="12.75">
      <c r="G132" s="424">
        <v>38566</v>
      </c>
      <c r="H132" s="294">
        <v>18.7</v>
      </c>
      <c r="AB132" s="3"/>
      <c r="AC132" s="3"/>
    </row>
    <row r="133" spans="7:29" ht="12.75">
      <c r="G133" s="424">
        <v>38603</v>
      </c>
      <c r="H133" s="294">
        <v>16.6</v>
      </c>
      <c r="AB133" s="3"/>
      <c r="AC133" s="3"/>
    </row>
    <row r="134" spans="7:29" ht="12.75">
      <c r="G134" s="424">
        <v>38631</v>
      </c>
      <c r="H134" s="294">
        <v>19.55</v>
      </c>
      <c r="AB134" s="3"/>
      <c r="AC134" s="3"/>
    </row>
    <row r="135" spans="7:29" ht="12.75">
      <c r="G135" s="424">
        <v>38659</v>
      </c>
      <c r="H135" s="294">
        <v>14.6</v>
      </c>
      <c r="AB135" s="3"/>
      <c r="AC135" s="3"/>
    </row>
    <row r="136" spans="7:29" ht="12.75">
      <c r="G136" s="424">
        <v>38693</v>
      </c>
      <c r="H136" s="294">
        <v>8.85</v>
      </c>
      <c r="AB136" s="3"/>
      <c r="AC136" s="3"/>
    </row>
    <row r="137" spans="7:29" ht="12.75">
      <c r="G137" s="424">
        <v>38702</v>
      </c>
      <c r="H137" s="294">
        <v>5.98</v>
      </c>
      <c r="AB137" s="3"/>
      <c r="AC137" s="3"/>
    </row>
    <row r="138" spans="7:29" ht="12.75">
      <c r="G138" s="424">
        <v>38706</v>
      </c>
      <c r="H138" s="294">
        <v>14.81</v>
      </c>
      <c r="AB138" s="3"/>
      <c r="AC138" s="3"/>
    </row>
    <row r="139" spans="7:29" ht="12.75">
      <c r="G139" s="424">
        <v>38715</v>
      </c>
      <c r="H139" s="294">
        <v>21.04</v>
      </c>
      <c r="AB139" s="3"/>
      <c r="AC139" s="3"/>
    </row>
    <row r="140" spans="28:29" ht="12.75">
      <c r="AB140" s="3"/>
      <c r="AC140" s="3"/>
    </row>
    <row r="141" spans="7:29" ht="12.75">
      <c r="G141" t="s">
        <v>256</v>
      </c>
      <c r="H141">
        <f>AVERAGE(H2:H139)</f>
        <v>10.605072463768117</v>
      </c>
      <c r="AB141" s="3"/>
      <c r="AC141" s="3"/>
    </row>
    <row r="142" spans="7:29" ht="12.75">
      <c r="G142" t="s">
        <v>372</v>
      </c>
      <c r="H142">
        <f>STDEV(H2:H139)</f>
        <v>4.383472317324987</v>
      </c>
      <c r="AB142" s="3"/>
      <c r="AC142" s="3"/>
    </row>
    <row r="143" spans="7:29" ht="12.75">
      <c r="G143" t="s">
        <v>373</v>
      </c>
      <c r="H143">
        <f>H142/H141</f>
        <v>0.4133373281796024</v>
      </c>
      <c r="AB143" s="3"/>
      <c r="AC143" s="3"/>
    </row>
    <row r="144" spans="7:29" ht="12.75">
      <c r="G144" t="s">
        <v>374</v>
      </c>
      <c r="H144">
        <v>0.413</v>
      </c>
      <c r="AB144" s="3"/>
      <c r="AC144" s="3"/>
    </row>
    <row r="145" spans="28:29" ht="12.75">
      <c r="AB145" s="3"/>
      <c r="AC145" s="3"/>
    </row>
    <row r="146" spans="28:29" ht="12.75">
      <c r="AB146" s="3"/>
      <c r="AC146" s="3"/>
    </row>
    <row r="147" spans="28:29" ht="12.75">
      <c r="AB147" s="3"/>
      <c r="AC147" s="3"/>
    </row>
    <row r="148" spans="28:29" ht="12.75">
      <c r="AB148" s="3"/>
      <c r="AC148" s="3"/>
    </row>
    <row r="149" spans="28:29" ht="12.75">
      <c r="AB149" s="3"/>
      <c r="AC149" s="3"/>
    </row>
    <row r="150" spans="28:29" ht="12.75">
      <c r="AB150" s="3"/>
      <c r="AC150" s="3"/>
    </row>
    <row r="151" spans="28:29" ht="12.75">
      <c r="AB151" s="3"/>
      <c r="AC151" s="3"/>
    </row>
    <row r="152" spans="28:29" ht="12.75">
      <c r="AB152" s="3"/>
      <c r="AC152" s="3"/>
    </row>
    <row r="153" spans="28:29" ht="12.75">
      <c r="AB153" s="3"/>
      <c r="AC153" s="3"/>
    </row>
    <row r="154" spans="28:29" ht="12.75">
      <c r="AB154" s="3"/>
      <c r="AC154" s="3"/>
    </row>
    <row r="155" spans="28:29" ht="12.75">
      <c r="AB155" s="3"/>
      <c r="AC155" s="3"/>
    </row>
    <row r="156" spans="28:29" ht="12.75">
      <c r="AB156" s="3"/>
      <c r="AC156" s="3"/>
    </row>
    <row r="157" spans="28:29" ht="12.75">
      <c r="AB157" s="3"/>
      <c r="AC157" s="3"/>
    </row>
    <row r="158" spans="28:29" ht="12.75">
      <c r="AB158" s="3"/>
      <c r="AC158" s="3"/>
    </row>
    <row r="159" spans="28:29" ht="12.75">
      <c r="AB159" s="3"/>
      <c r="AC159" s="3"/>
    </row>
    <row r="160" spans="28:29" ht="12.75">
      <c r="AB160" s="3"/>
      <c r="AC160" s="3"/>
    </row>
    <row r="161" spans="28:29" ht="12.75">
      <c r="AB161" s="3"/>
      <c r="AC161" s="3"/>
    </row>
    <row r="162" spans="28:29" ht="12.75">
      <c r="AB162" s="3"/>
      <c r="AC162" s="3"/>
    </row>
    <row r="163" spans="28:29" ht="12.75">
      <c r="AB163" s="3"/>
      <c r="AC163" s="3"/>
    </row>
    <row r="164" spans="28:29" ht="12.75">
      <c r="AB164" s="3"/>
      <c r="AC164" s="3"/>
    </row>
    <row r="165" spans="28:29" ht="12.75">
      <c r="AB165" s="3"/>
      <c r="AC165" s="3"/>
    </row>
    <row r="166" spans="28:29" ht="12.75">
      <c r="AB166" s="3"/>
      <c r="AC166" s="3"/>
    </row>
    <row r="167" spans="28:29" ht="12.75">
      <c r="AB167" s="3"/>
      <c r="AC167" s="3"/>
    </row>
    <row r="168" spans="28:29" ht="12.75">
      <c r="AB168" s="3"/>
      <c r="AC168" s="3"/>
    </row>
    <row r="169" spans="28:29" ht="12.75">
      <c r="AB169" s="3"/>
      <c r="AC169" s="3"/>
    </row>
    <row r="170" spans="28:29" ht="12.75">
      <c r="AB170" s="3"/>
      <c r="AC170" s="3"/>
    </row>
    <row r="171" spans="28:29" ht="12.75">
      <c r="AB171" s="3"/>
      <c r="AC171" s="3"/>
    </row>
    <row r="172" spans="28:29" ht="12.75">
      <c r="AB172" s="3"/>
      <c r="AC172" s="3"/>
    </row>
    <row r="173" spans="28:29" ht="12.75">
      <c r="AB173" s="3"/>
      <c r="AC173" s="3"/>
    </row>
    <row r="174" spans="28:29" ht="12.75">
      <c r="AB174" s="3"/>
      <c r="AC174" s="3"/>
    </row>
    <row r="175" spans="28:29" ht="12.75">
      <c r="AB175" s="3"/>
      <c r="AC175" s="3"/>
    </row>
    <row r="176" spans="28:29" ht="12.75">
      <c r="AB176" s="3"/>
      <c r="AC176" s="3"/>
    </row>
    <row r="177" spans="28:29" ht="12.75">
      <c r="AB177" s="3"/>
      <c r="AC177" s="3"/>
    </row>
    <row r="178" spans="28:29" ht="12.75">
      <c r="AB178" s="3"/>
      <c r="AC178" s="3"/>
    </row>
    <row r="179" spans="28:29" ht="12.75">
      <c r="AB179" s="3"/>
      <c r="AC179" s="3"/>
    </row>
    <row r="180" spans="28:29" ht="12.75">
      <c r="AB180" s="3"/>
      <c r="AC180" s="3"/>
    </row>
    <row r="181" spans="28:29" ht="12.75">
      <c r="AB181" s="3"/>
      <c r="AC181" s="3"/>
    </row>
    <row r="182" spans="28:29" ht="12.75">
      <c r="AB182" s="3"/>
      <c r="AC182" s="3"/>
    </row>
    <row r="183" spans="28:29" ht="12.75">
      <c r="AB183" s="3"/>
      <c r="AC183" s="3"/>
    </row>
    <row r="184" spans="28:29" ht="12.75">
      <c r="AB184" s="3"/>
      <c r="AC184" s="3"/>
    </row>
    <row r="185" spans="28:29" ht="12.75">
      <c r="AB185" s="3"/>
      <c r="AC185" s="3"/>
    </row>
    <row r="186" spans="28:29" ht="12.75">
      <c r="AB186" s="3"/>
      <c r="AC186" s="3"/>
    </row>
    <row r="187" spans="28:29" ht="12.75">
      <c r="AB187" s="3"/>
      <c r="AC187" s="3"/>
    </row>
    <row r="188" spans="28:29" ht="12.75">
      <c r="AB188" s="3"/>
      <c r="AC188" s="3"/>
    </row>
    <row r="189" spans="28:29" ht="12.75">
      <c r="AB189" s="3"/>
      <c r="AC189" s="3"/>
    </row>
    <row r="190" spans="28:29" ht="12.75">
      <c r="AB190" s="3"/>
      <c r="AC190" s="3"/>
    </row>
    <row r="191" spans="28:29" ht="12.75">
      <c r="AB191" s="3"/>
      <c r="AC191" s="3"/>
    </row>
    <row r="192" spans="28:29" ht="12.75">
      <c r="AB192" s="3"/>
      <c r="AC192" s="3"/>
    </row>
    <row r="193" spans="28:29" ht="12.75">
      <c r="AB193" s="3"/>
      <c r="AC193" s="3"/>
    </row>
    <row r="194" spans="28:29" ht="12.75">
      <c r="AB194" s="3"/>
      <c r="AC194" s="3"/>
    </row>
    <row r="195" spans="28:29" ht="12.75">
      <c r="AB195" s="3"/>
      <c r="AC195" s="3"/>
    </row>
    <row r="196" spans="28:29" ht="12.75">
      <c r="AB196" s="3"/>
      <c r="AC196" s="3"/>
    </row>
    <row r="197" spans="28:29" ht="12.75">
      <c r="AB197" s="3"/>
      <c r="AC197" s="3"/>
    </row>
    <row r="198" spans="28:29" ht="12.75">
      <c r="AB198" s="3"/>
      <c r="AC198" s="3"/>
    </row>
    <row r="199" spans="28:29" ht="12.75">
      <c r="AB199" s="3"/>
      <c r="AC199" s="3"/>
    </row>
    <row r="200" spans="28:29" ht="12.75">
      <c r="AB200" s="3"/>
      <c r="AC200" s="3"/>
    </row>
    <row r="201" spans="28:29" ht="12.75">
      <c r="AB201" s="3"/>
      <c r="AC201" s="3"/>
    </row>
    <row r="202" spans="28:29" ht="12.75">
      <c r="AB202" s="3"/>
      <c r="AC202" s="3"/>
    </row>
    <row r="203" spans="28:29" ht="12.75">
      <c r="AB203" s="3"/>
      <c r="AC203" s="3"/>
    </row>
    <row r="204" spans="28:29" ht="12.75">
      <c r="AB204" s="3"/>
      <c r="AC204" s="3"/>
    </row>
    <row r="205" spans="28:29" ht="12.75">
      <c r="AB205" s="3"/>
      <c r="AC205" s="3"/>
    </row>
    <row r="206" spans="28:29" ht="12.75">
      <c r="AB206" s="3"/>
      <c r="AC206" s="3"/>
    </row>
    <row r="207" spans="28:29" ht="12.75">
      <c r="AB207" s="3"/>
      <c r="AC207" s="3"/>
    </row>
    <row r="208" spans="28:29" ht="12.75">
      <c r="AB208" s="3"/>
      <c r="AC208" s="3"/>
    </row>
    <row r="209" spans="28:29" ht="12.75">
      <c r="AB209" s="3"/>
      <c r="AC209" s="3"/>
    </row>
    <row r="210" spans="28:29" ht="12.75">
      <c r="AB210" s="3"/>
      <c r="AC210" s="3"/>
    </row>
    <row r="211" spans="28:29" ht="12.75">
      <c r="AB211" s="3"/>
      <c r="AC211" s="3"/>
    </row>
    <row r="212" spans="28:29" ht="12.75">
      <c r="AB212" s="3"/>
      <c r="AC212" s="3"/>
    </row>
    <row r="213" spans="28:29" ht="12.75">
      <c r="AB213" s="3"/>
      <c r="AC213" s="3"/>
    </row>
    <row r="214" spans="28:29" ht="12.75">
      <c r="AB214" s="3"/>
      <c r="AC214" s="3"/>
    </row>
    <row r="215" spans="28:29" ht="12.75">
      <c r="AB215" s="3"/>
      <c r="AC215" s="3"/>
    </row>
    <row r="216" spans="28:29" ht="12.75">
      <c r="AB216" s="3"/>
      <c r="AC216" s="3"/>
    </row>
    <row r="217" spans="28:29" ht="12.75">
      <c r="AB217" s="3"/>
      <c r="AC217" s="3"/>
    </row>
    <row r="218" spans="28:29" ht="12.75">
      <c r="AB218" s="3"/>
      <c r="AC218" s="3"/>
    </row>
    <row r="219" spans="28:29" ht="12.75">
      <c r="AB219" s="3"/>
      <c r="AC219" s="3"/>
    </row>
    <row r="220" spans="28:29" ht="12.75">
      <c r="AB220" s="3"/>
      <c r="AC220" s="3"/>
    </row>
    <row r="221" spans="28:29" ht="12.75">
      <c r="AB221" s="3"/>
      <c r="AC221" s="3"/>
    </row>
    <row r="222" spans="28:29" ht="12.75">
      <c r="AB222" s="3"/>
      <c r="AC222" s="3"/>
    </row>
    <row r="223" spans="28:29" ht="12.75">
      <c r="AB223" s="3"/>
      <c r="AC223" s="3"/>
    </row>
    <row r="224" spans="28:29" ht="12.75">
      <c r="AB224" s="3"/>
      <c r="AC224" s="3"/>
    </row>
    <row r="225" spans="28:29" ht="12.75">
      <c r="AB225" s="3"/>
      <c r="AC225" s="3"/>
    </row>
    <row r="226" spans="28:29" ht="12.75">
      <c r="AB226" s="3"/>
      <c r="AC226" s="3"/>
    </row>
    <row r="227" spans="28:29" ht="12.75">
      <c r="AB227" s="3"/>
      <c r="AC227" s="3"/>
    </row>
    <row r="228" spans="28:29" ht="12.75">
      <c r="AB228" s="3"/>
      <c r="AC228" s="3"/>
    </row>
    <row r="229" spans="28:29" ht="12.75">
      <c r="AB229" s="3"/>
      <c r="AC229" s="3"/>
    </row>
    <row r="230" spans="28:29" ht="12.75">
      <c r="AB230" s="3"/>
      <c r="AC230" s="3"/>
    </row>
    <row r="231" spans="28:29" ht="12.75">
      <c r="AB231" s="3"/>
      <c r="AC231" s="3"/>
    </row>
    <row r="232" spans="28:29" ht="12.75">
      <c r="AB232" s="3"/>
      <c r="AC232" s="3"/>
    </row>
    <row r="233" spans="28:29" ht="12.75">
      <c r="AB233" s="3"/>
      <c r="AC233" s="3"/>
    </row>
    <row r="234" spans="28:29" ht="12.75">
      <c r="AB234" s="3"/>
      <c r="AC234" s="3"/>
    </row>
    <row r="235" spans="28:29" ht="12.75">
      <c r="AB235" s="3"/>
      <c r="AC235" s="3"/>
    </row>
    <row r="236" spans="28:29" ht="12.75">
      <c r="AB236" s="3"/>
      <c r="AC236" s="3"/>
    </row>
    <row r="237" spans="28:29" ht="12.75">
      <c r="AB237" s="3"/>
      <c r="AC237" s="3"/>
    </row>
    <row r="238" spans="28:29" ht="12.75">
      <c r="AB238" s="3"/>
      <c r="AC238" s="3"/>
    </row>
    <row r="239" spans="28:29" ht="12.75">
      <c r="AB239" s="3"/>
      <c r="AC239" s="3"/>
    </row>
    <row r="240" spans="28:29" ht="12.75">
      <c r="AB240" s="3"/>
      <c r="AC240" s="3"/>
    </row>
    <row r="241" spans="28:29" ht="12.75">
      <c r="AB241" s="3"/>
      <c r="AC241" s="3"/>
    </row>
    <row r="242" spans="28:29" ht="12.75">
      <c r="AB242" s="3"/>
      <c r="AC242" s="3"/>
    </row>
    <row r="243" spans="28:29" ht="12.75">
      <c r="AB243" s="3"/>
      <c r="AC243" s="3"/>
    </row>
    <row r="244" spans="28:29" ht="12.75">
      <c r="AB244" s="3"/>
      <c r="AC244" s="3"/>
    </row>
    <row r="245" spans="28:29" ht="12.75">
      <c r="AB245" s="3"/>
      <c r="AC245" s="3"/>
    </row>
    <row r="246" spans="28:29" ht="12.75">
      <c r="AB246" s="3"/>
      <c r="AC246" s="3"/>
    </row>
    <row r="247" spans="28:29" ht="12.75">
      <c r="AB247" s="3"/>
      <c r="AC247" s="3"/>
    </row>
    <row r="248" spans="28:29" ht="12.75">
      <c r="AB248" s="3"/>
      <c r="AC248" s="3"/>
    </row>
    <row r="249" spans="28:29" ht="12.75">
      <c r="AB249" s="3"/>
      <c r="AC249" s="3"/>
    </row>
    <row r="250" spans="28:29" ht="12.75">
      <c r="AB250" s="3"/>
      <c r="AC250" s="3"/>
    </row>
    <row r="251" spans="28:29" ht="12.75">
      <c r="AB251" s="3"/>
      <c r="AC251" s="3"/>
    </row>
    <row r="252" spans="28:29" ht="12.75">
      <c r="AB252" s="3"/>
      <c r="AC252" s="3"/>
    </row>
    <row r="253" spans="28:29" ht="12.75">
      <c r="AB253" s="3"/>
      <c r="AC253" s="3"/>
    </row>
    <row r="254" spans="28:29" ht="12.75">
      <c r="AB254" s="3"/>
      <c r="AC254" s="3"/>
    </row>
    <row r="255" spans="28:29" ht="12.75">
      <c r="AB255" s="3"/>
      <c r="AC255" s="3"/>
    </row>
    <row r="256" spans="28:29" ht="12.75">
      <c r="AB256" s="3"/>
      <c r="AC256" s="3"/>
    </row>
    <row r="257" spans="28:29" ht="12.75">
      <c r="AB257" s="3"/>
      <c r="AC257" s="3"/>
    </row>
    <row r="258" spans="28:29" ht="12.75">
      <c r="AB258" s="3"/>
      <c r="AC258" s="3"/>
    </row>
    <row r="259" spans="28:29" ht="12.75">
      <c r="AB259" s="3"/>
      <c r="AC259" s="3"/>
    </row>
    <row r="260" spans="28:29" ht="12.75">
      <c r="AB260" s="3"/>
      <c r="AC260" s="3"/>
    </row>
    <row r="261" spans="28:29" ht="12.75">
      <c r="AB261" s="3"/>
      <c r="AC261" s="3"/>
    </row>
    <row r="262" spans="28:29" ht="12.75">
      <c r="AB262" s="3"/>
      <c r="AC262" s="3"/>
    </row>
    <row r="263" spans="28:29" ht="12.75">
      <c r="AB263" s="3"/>
      <c r="AC263" s="3"/>
    </row>
    <row r="264" spans="28:29" ht="12.75">
      <c r="AB264" s="3"/>
      <c r="AC264" s="3"/>
    </row>
    <row r="265" spans="28:29" ht="12.75">
      <c r="AB265" s="3"/>
      <c r="AC265" s="3"/>
    </row>
    <row r="266" spans="28:29" ht="12.75">
      <c r="AB266" s="3"/>
      <c r="AC266" s="3"/>
    </row>
    <row r="267" spans="28:29" ht="12.75">
      <c r="AB267" s="3"/>
      <c r="AC267" s="3"/>
    </row>
    <row r="268" spans="28:29" ht="12.75">
      <c r="AB268" s="3"/>
      <c r="AC268" s="3"/>
    </row>
    <row r="269" spans="28:29" ht="12.75">
      <c r="AB269" s="3"/>
      <c r="AC269" s="3"/>
    </row>
    <row r="270" spans="28:29" ht="12.75">
      <c r="AB270" s="3"/>
      <c r="AC270" s="3"/>
    </row>
    <row r="271" spans="28:29" ht="12.75">
      <c r="AB271" s="3"/>
      <c r="AC271" s="3"/>
    </row>
    <row r="272" spans="28:29" ht="12.75">
      <c r="AB272" s="3"/>
      <c r="AC272" s="3"/>
    </row>
    <row r="273" spans="28:29" ht="12.75">
      <c r="AB273" s="3"/>
      <c r="AC273" s="3"/>
    </row>
    <row r="274" spans="28:29" ht="12.75">
      <c r="AB274" s="3"/>
      <c r="AC274" s="3"/>
    </row>
    <row r="275" spans="28:29" ht="12.75">
      <c r="AB275" s="3"/>
      <c r="AC275" s="3"/>
    </row>
    <row r="276" spans="28:29" ht="12.75">
      <c r="AB276" s="3"/>
      <c r="AC276" s="3"/>
    </row>
    <row r="277" spans="28:29" ht="12.75">
      <c r="AB277" s="3"/>
      <c r="AC277" s="3"/>
    </row>
    <row r="278" spans="28:29" ht="12.75">
      <c r="AB278" s="3"/>
      <c r="AC278" s="3"/>
    </row>
    <row r="279" spans="28:29" ht="12.75">
      <c r="AB279" s="3"/>
      <c r="AC279" s="3"/>
    </row>
    <row r="280" spans="28:29" ht="12.75">
      <c r="AB280" s="3"/>
      <c r="AC280" s="3"/>
    </row>
    <row r="281" spans="28:29" ht="12.75">
      <c r="AB281" s="3"/>
      <c r="AC281" s="3"/>
    </row>
    <row r="282" spans="28:29" ht="12.75">
      <c r="AB282" s="3"/>
      <c r="AC282" s="3"/>
    </row>
    <row r="283" spans="28:29" ht="12.75">
      <c r="AB283" s="3"/>
      <c r="AC283" s="3"/>
    </row>
    <row r="284" spans="28:29" ht="12.75">
      <c r="AB284" s="3"/>
      <c r="AC284" s="3"/>
    </row>
    <row r="285" spans="28:29" ht="12.75">
      <c r="AB285" s="3"/>
      <c r="AC285" s="3"/>
    </row>
    <row r="286" spans="28:29" ht="12.75">
      <c r="AB286" s="3"/>
      <c r="AC286" s="3"/>
    </row>
    <row r="287" spans="28:29" ht="12.75">
      <c r="AB287" s="3"/>
      <c r="AC287" s="3"/>
    </row>
    <row r="288" spans="28:29" ht="12.75">
      <c r="AB288" s="3"/>
      <c r="AC288" s="3"/>
    </row>
    <row r="289" spans="28:29" ht="12.75">
      <c r="AB289" s="3"/>
      <c r="AC289" s="3"/>
    </row>
    <row r="290" spans="28:29" ht="12.75">
      <c r="AB290" s="3"/>
      <c r="AC290" s="3"/>
    </row>
    <row r="291" spans="28:29" ht="12.75">
      <c r="AB291" s="3"/>
      <c r="AC29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9"/>
  <sheetViews>
    <sheetView zoomScale="125" zoomScaleNormal="125" workbookViewId="0" topLeftCell="A1">
      <pane xSplit="3" ySplit="4" topLeftCell="U12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6" sqref="A66:X135"/>
    </sheetView>
  </sheetViews>
  <sheetFormatPr defaultColWidth="9.140625" defaultRowHeight="12.75"/>
  <cols>
    <col min="1" max="1" width="8.8515625" style="205" customWidth="1"/>
    <col min="2" max="2" width="20.8515625" style="205" customWidth="1"/>
    <col min="3" max="3" width="9.57421875" style="247" customWidth="1"/>
    <col min="4" max="5" width="8.8515625" style="205" customWidth="1"/>
    <col min="6" max="7" width="10.8515625" style="205" customWidth="1"/>
    <col min="8" max="8" width="27.8515625" style="205" bestFit="1" customWidth="1"/>
    <col min="9" max="9" width="17.140625" style="324" customWidth="1"/>
    <col min="10" max="10" width="33.421875" style="205" customWidth="1"/>
    <col min="11" max="11" width="1.421875" style="205" customWidth="1"/>
    <col min="12" max="12" width="8.8515625" style="346" customWidth="1"/>
    <col min="13" max="13" width="8.8515625" style="333" customWidth="1"/>
    <col min="14" max="14" width="10.8515625" style="205" customWidth="1"/>
    <col min="15" max="15" width="10.8515625" style="333" customWidth="1"/>
    <col min="16" max="16" width="25.421875" style="346" customWidth="1"/>
    <col min="17" max="17" width="23.421875" style="179" customWidth="1"/>
    <col min="18" max="18" width="23.8515625" style="333" customWidth="1"/>
    <col min="19" max="19" width="12.140625" style="333" customWidth="1"/>
    <col min="20" max="20" width="40.140625" style="205" bestFit="1" customWidth="1"/>
    <col min="21" max="22" width="9.28125" style="374" customWidth="1"/>
    <col min="23" max="16384" width="8.8515625" style="0" customWidth="1"/>
  </cols>
  <sheetData>
    <row r="1" spans="1:22" ht="14.25" thickBot="1" thickTop="1">
      <c r="A1" s="248" t="s">
        <v>236</v>
      </c>
      <c r="B1" s="249"/>
      <c r="C1" s="250"/>
      <c r="D1" s="251" t="s">
        <v>237</v>
      </c>
      <c r="E1" s="252" t="s">
        <v>238</v>
      </c>
      <c r="F1" s="253"/>
      <c r="G1" s="253"/>
      <c r="H1" s="253"/>
      <c r="I1" s="325"/>
      <c r="J1" s="253" t="s">
        <v>239</v>
      </c>
      <c r="K1" s="253"/>
      <c r="L1" s="342" t="s">
        <v>237</v>
      </c>
      <c r="M1" s="330" t="s">
        <v>238</v>
      </c>
      <c r="N1" s="253"/>
      <c r="O1" s="357" t="s">
        <v>301</v>
      </c>
      <c r="P1" s="357" t="s">
        <v>299</v>
      </c>
      <c r="Q1" s="357" t="s">
        <v>300</v>
      </c>
      <c r="R1" s="357" t="s">
        <v>302</v>
      </c>
      <c r="S1" s="330" t="s">
        <v>304</v>
      </c>
      <c r="T1" s="254"/>
      <c r="U1" s="390"/>
      <c r="V1" s="391"/>
    </row>
    <row r="2" spans="1:22" ht="34.5" thickBot="1">
      <c r="A2" s="457"/>
      <c r="B2" s="458" t="s">
        <v>31</v>
      </c>
      <c r="C2" s="255" t="s">
        <v>257</v>
      </c>
      <c r="D2" s="475" t="s">
        <v>355</v>
      </c>
      <c r="E2" s="477" t="s">
        <v>356</v>
      </c>
      <c r="F2" s="477" t="s">
        <v>357</v>
      </c>
      <c r="G2" s="477" t="s">
        <v>202</v>
      </c>
      <c r="H2" s="479" t="s">
        <v>240</v>
      </c>
      <c r="I2" s="323" t="s">
        <v>294</v>
      </c>
      <c r="J2" s="256" t="s">
        <v>241</v>
      </c>
      <c r="K2" s="337"/>
      <c r="L2" s="481" t="s">
        <v>354</v>
      </c>
      <c r="M2" s="475" t="s">
        <v>358</v>
      </c>
      <c r="N2" s="485" t="s">
        <v>201</v>
      </c>
      <c r="O2" s="487" t="s">
        <v>242</v>
      </c>
      <c r="P2" s="489" t="s">
        <v>296</v>
      </c>
      <c r="Q2" s="256" t="s">
        <v>243</v>
      </c>
      <c r="R2" s="483" t="s">
        <v>297</v>
      </c>
      <c r="S2" s="351"/>
      <c r="T2" s="257"/>
      <c r="U2" s="392"/>
      <c r="V2" s="393"/>
    </row>
    <row r="3" spans="1:22" ht="79.5" thickBot="1">
      <c r="A3" s="427"/>
      <c r="B3" s="459"/>
      <c r="C3" s="258" t="s">
        <v>244</v>
      </c>
      <c r="D3" s="476"/>
      <c r="E3" s="478"/>
      <c r="F3" s="478"/>
      <c r="G3" s="478"/>
      <c r="H3" s="480"/>
      <c r="I3" s="326" t="s">
        <v>295</v>
      </c>
      <c r="J3" s="259" t="s">
        <v>298</v>
      </c>
      <c r="K3" s="338"/>
      <c r="L3" s="482"/>
      <c r="M3" s="476"/>
      <c r="N3" s="486"/>
      <c r="O3" s="488"/>
      <c r="P3" s="490"/>
      <c r="Q3" s="260" t="s">
        <v>245</v>
      </c>
      <c r="R3" s="484"/>
      <c r="S3" s="352" t="s">
        <v>246</v>
      </c>
      <c r="T3" s="261" t="s">
        <v>247</v>
      </c>
      <c r="U3" s="394" t="s">
        <v>352</v>
      </c>
      <c r="V3" s="395" t="s">
        <v>353</v>
      </c>
    </row>
    <row r="4" spans="1:22" s="1" customFormat="1" ht="13.5" customHeight="1" thickBot="1">
      <c r="A4" s="319" t="s">
        <v>280</v>
      </c>
      <c r="B4" s="320" t="s">
        <v>272</v>
      </c>
      <c r="C4" s="321" t="s">
        <v>281</v>
      </c>
      <c r="D4" s="315" t="s">
        <v>282</v>
      </c>
      <c r="E4" s="316" t="s">
        <v>283</v>
      </c>
      <c r="F4" s="316" t="s">
        <v>284</v>
      </c>
      <c r="G4" s="316" t="s">
        <v>285</v>
      </c>
      <c r="H4" s="317" t="s">
        <v>286</v>
      </c>
      <c r="I4" s="318" t="s">
        <v>287</v>
      </c>
      <c r="J4" s="317" t="s">
        <v>288</v>
      </c>
      <c r="K4" s="339" t="s">
        <v>289</v>
      </c>
      <c r="L4" s="343" t="s">
        <v>290</v>
      </c>
      <c r="M4" s="331" t="s">
        <v>277</v>
      </c>
      <c r="N4" s="329" t="s">
        <v>208</v>
      </c>
      <c r="O4" s="355" t="s">
        <v>291</v>
      </c>
      <c r="P4" s="356" t="s">
        <v>292</v>
      </c>
      <c r="Q4" s="1" t="s">
        <v>271</v>
      </c>
      <c r="R4" s="349" t="s">
        <v>293</v>
      </c>
      <c r="S4" s="353" t="s">
        <v>273</v>
      </c>
      <c r="T4" s="322" t="s">
        <v>276</v>
      </c>
      <c r="U4" s="396"/>
      <c r="V4" s="397"/>
    </row>
    <row r="5" spans="1:22" ht="13.5" thickTop="1">
      <c r="A5" s="218">
        <v>1</v>
      </c>
      <c r="B5" s="219" t="s">
        <v>77</v>
      </c>
      <c r="C5" s="262">
        <f>Criteria!C11</f>
        <v>4300</v>
      </c>
      <c r="D5" s="220" t="str">
        <f>IF('data input for RPA'!C8="","",'data input for RPA'!C8)</f>
        <v>Y</v>
      </c>
      <c r="E5" s="220" t="str">
        <f>IF('data input for RPA'!D8="","",'data input for RPA'!D8)</f>
        <v>N</v>
      </c>
      <c r="F5" s="220">
        <f>IF('data input for RPA'!E8="","",'data input for RPA'!E8)</f>
      </c>
      <c r="G5" s="220">
        <f>IF(D5="","",IF(E5="Y","",'data input for RPA'!F8))</f>
        <v>1.02</v>
      </c>
      <c r="H5" s="236">
        <f aca="true" t="shared" si="0" ref="H5:H58">IF(C5="No Criteria","No Criteria",IF(E5="Y",IF(F5&gt;C5,"MDL &gt; C, Interim Monitor, Go To Step 5","MDL&lt;=C, MDL=MEC"),IF(D5="Y","","No Effluent Data")))</f>
      </c>
      <c r="I5" s="264">
        <f>IF(D5="N","",IF(E5="Y",IF(F5&lt;C5,F5,""),G5))</f>
        <v>1.02</v>
      </c>
      <c r="J5" s="220" t="str">
        <f>IF(C5="No Criteria","No Criteria",IF(I5="","",IF(I5&gt;=C5,"Y","MEC&lt;C, go to Step 5")))</f>
        <v>MEC&lt;C, go to Step 5</v>
      </c>
      <c r="K5" s="340"/>
      <c r="L5" s="220" t="str">
        <f>IF('data input for RPA'!I8="N","",'data input for RPA'!I8)</f>
        <v>Y</v>
      </c>
      <c r="M5" s="220">
        <f>IF(L5="","",IF('data input for RPA'!J8="Y","Y",""))</f>
      </c>
      <c r="N5" s="295">
        <f>IF(M5="Y",'data input for RPA'!K8,"")</f>
      </c>
      <c r="O5" s="402">
        <f>IF(M5="Y","",IF(L5="Y",'data input for RPA'!L8,""))</f>
        <v>1.8</v>
      </c>
      <c r="P5" s="344">
        <f>IF(M5="Y",IF(N5&gt;0,IF(N5&gt;C5,"Y")),"")</f>
      </c>
      <c r="Q5" s="236" t="str">
        <f>IF(C5="No Criteria","No Criteria",IF(O5="","No detected value of B, Step 7",IF(O5&gt;C5,"Y","B&lt;C, Step 7")))</f>
        <v>B&lt;C, Step 7</v>
      </c>
      <c r="R5" s="350">
        <f>'data input for RPA'!O8</f>
      </c>
      <c r="S5" s="220">
        <f aca="true" t="shared" si="1" ref="S5:S68">IF(J5="Y","Y",IF(Q5="Y","Y",IF(R5="Y","Y","")))</f>
      </c>
      <c r="T5" s="263">
        <f aca="true" t="shared" si="2" ref="T5:T17">IF(C5="No Criteria","Uo - No Criteria",IF(J5="Y","MEC =&gt; C  ["&amp;TEXT(I5,"0.000")&amp;" ug/l  vs "&amp;TEXT(C5,"0.000")&amp;" ug/l ]",IF(Q5="Y","B  &gt; C  ["&amp;TEXT(O5,"0.000")&amp;" ug/l vs "&amp;TEXT(C5,"0.000")&amp;"ug/l]",IF(R5="Y","RP by Trigger III and Staff BPJ",IF(D5="",IF(L5="","Ud, No effluent data, no background data","Ud-No Effluent Data"),IF(H5="MDL &gt; C, Interim Monitor, Go To Step 5","Effluent MDL &gt; C, Interim Monitor",""))))))</f>
      </c>
      <c r="U5" s="398">
        <f>IF(WQBELs!AO12="","",WQBELs!AO12)</f>
      </c>
      <c r="V5" s="399">
        <f>IF(WQBELs!AP12="","",WQBELs!AP12)</f>
      </c>
    </row>
    <row r="6" spans="1:22" ht="12.75">
      <c r="A6" s="223">
        <v>2</v>
      </c>
      <c r="B6" s="224" t="s">
        <v>258</v>
      </c>
      <c r="C6" s="262">
        <f>Criteria!C12</f>
        <v>36</v>
      </c>
      <c r="D6" s="220" t="str">
        <f>IF('data input for RPA'!C9="","",'data input for RPA'!C9)</f>
        <v>Y</v>
      </c>
      <c r="E6" s="220" t="str">
        <f>IF('data input for RPA'!D9="","",'data input for RPA'!D9)</f>
        <v>N</v>
      </c>
      <c r="F6" s="220">
        <f>IF('data input for RPA'!E9="","",'data input for RPA'!E9)</f>
      </c>
      <c r="G6" s="220">
        <f>IF(D6="","",IF(E6="Y","",'data input for RPA'!F9))</f>
        <v>28.2</v>
      </c>
      <c r="H6" s="236">
        <f t="shared" si="0"/>
      </c>
      <c r="I6" s="264">
        <f aca="true" t="shared" si="3" ref="I6:I69">IF(D6="N","",IF(E6="Y",IF(F6&lt;C6,F6,""),G6))</f>
        <v>28.2</v>
      </c>
      <c r="J6" s="220" t="str">
        <f>IF(C6="No Criteria","No Criteria",IF(I6="","",IF(I6&gt;=C6,"Y","MEC&lt;C, go to Step 5")))</f>
        <v>MEC&lt;C, go to Step 5</v>
      </c>
      <c r="K6" s="340"/>
      <c r="L6" s="220" t="str">
        <f>IF('data input for RPA'!I9="N","",'data input for RPA'!I9)</f>
        <v>Y</v>
      </c>
      <c r="M6" s="220">
        <f>IF(L6="","",IF('data input for RPA'!J9="Y","Y",""))</f>
      </c>
      <c r="N6" s="295">
        <f>IF(M6="Y",'data input for RPA'!K9,"")</f>
      </c>
      <c r="O6" s="402">
        <f>IF(M6="Y","",IF(L6="Y",'data input for RPA'!L9,""))</f>
        <v>2.46</v>
      </c>
      <c r="P6" s="344">
        <f aca="true" t="shared" si="4" ref="P6:P69">IF(M6="Y",IF(N6&gt;0,IF(N6&gt;C6,"Y")),"")</f>
      </c>
      <c r="Q6" s="236" t="str">
        <f aca="true" t="shared" si="5" ref="Q6:Q69">IF(C6="No Criteria","No Criteria",IF(O6="","No detected value of B, Step 7",IF(O6&gt;C6,"Y","B&lt;C, Step 7")))</f>
        <v>B&lt;C, Step 7</v>
      </c>
      <c r="R6" s="350">
        <f>'data input for RPA'!O9</f>
      </c>
      <c r="S6" s="220">
        <f t="shared" si="1"/>
      </c>
      <c r="T6" s="263">
        <f t="shared" si="2"/>
      </c>
      <c r="U6" s="398">
        <f>IF(WQBELs!AO13="","",WQBELs!AO13)</f>
      </c>
      <c r="V6" s="399">
        <f>IF(WQBELs!AP13="","",WQBELs!AP13)</f>
      </c>
    </row>
    <row r="7" spans="1:22" ht="12.75">
      <c r="A7" s="223">
        <v>3</v>
      </c>
      <c r="B7" s="224" t="s">
        <v>210</v>
      </c>
      <c r="C7" s="262" t="str">
        <f>Criteria!C13</f>
        <v>No Criteria</v>
      </c>
      <c r="D7" s="220" t="str">
        <f>IF('data input for RPA'!C10="","",'data input for RPA'!C10)</f>
        <v>Y</v>
      </c>
      <c r="E7" s="220" t="str">
        <f>IF('data input for RPA'!D10="","",'data input for RPA'!D10)</f>
        <v>Y</v>
      </c>
      <c r="F7" s="220">
        <f>IF('data input for RPA'!E10="","",'data input for RPA'!E10)</f>
        <v>0.2</v>
      </c>
      <c r="G7" s="220">
        <f>IF(D7="","",IF(E7="Y","",'data input for RPA'!F10))</f>
      </c>
      <c r="H7" s="236" t="str">
        <f t="shared" si="0"/>
        <v>No Criteria</v>
      </c>
      <c r="I7" s="264">
        <f t="shared" si="3"/>
        <v>0.2</v>
      </c>
      <c r="J7" s="220" t="str">
        <f aca="true" t="shared" si="6" ref="J7:J70">IF(C7="No Criteria","No Criteria",IF(I7="","",IF(I7&gt;=C7,"Y","MEC&lt;C, go to Step 5")))</f>
        <v>No Criteria</v>
      </c>
      <c r="K7" s="340"/>
      <c r="L7" s="220" t="str">
        <f>IF('data input for RPA'!I10="N","",'data input for RPA'!I10)</f>
        <v>Y</v>
      </c>
      <c r="M7" s="220">
        <f>IF(L7="","",IF('data input for RPA'!J10="Y","Y",""))</f>
      </c>
      <c r="N7" s="295">
        <f>IF(M7="Y",'data input for RPA'!K10,"")</f>
      </c>
      <c r="O7" s="402">
        <f>IF(M7="Y","",IF(L7="Y",'data input for RPA'!L10,""))</f>
        <v>0.215</v>
      </c>
      <c r="P7" s="344">
        <f t="shared" si="4"/>
      </c>
      <c r="Q7" s="236" t="str">
        <f t="shared" si="5"/>
        <v>No Criteria</v>
      </c>
      <c r="R7" s="350" t="str">
        <f>'data input for RPA'!O10</f>
        <v>No Criteria</v>
      </c>
      <c r="S7" s="220">
        <f t="shared" si="1"/>
      </c>
      <c r="T7" s="263" t="str">
        <f t="shared" si="2"/>
        <v>Uo - No Criteria</v>
      </c>
      <c r="U7" s="398">
        <f>IF(WQBELs!AO14="","",WQBELs!AO14)</f>
      </c>
      <c r="V7" s="399">
        <f>IF(WQBELs!AP14="","",WQBELs!AP14)</f>
      </c>
    </row>
    <row r="8" spans="1:22" ht="12.75">
      <c r="A8" s="223">
        <v>4</v>
      </c>
      <c r="B8" s="224" t="s">
        <v>259</v>
      </c>
      <c r="C8" s="262">
        <f>Criteria!C14</f>
        <v>1.6269098223111504</v>
      </c>
      <c r="D8" s="220" t="str">
        <f>IF('data input for RPA'!C11="","",'data input for RPA'!C11)</f>
        <v>Y</v>
      </c>
      <c r="E8" s="220"/>
      <c r="F8" s="220">
        <f>IF('data input for RPA'!E11="","",'data input for RPA'!E11)</f>
      </c>
      <c r="G8" s="220">
        <f>IF(D8="","",IF(E8="Y","",'data input for RPA'!F11))</f>
        <v>0.2</v>
      </c>
      <c r="H8" s="236">
        <f t="shared" si="0"/>
      </c>
      <c r="I8" s="264">
        <f t="shared" si="3"/>
        <v>0.2</v>
      </c>
      <c r="J8" s="220" t="str">
        <f t="shared" si="6"/>
        <v>MEC&lt;C, go to Step 5</v>
      </c>
      <c r="K8" s="340"/>
      <c r="L8" s="220" t="str">
        <f>IF('data input for RPA'!I11="N","",'data input for RPA'!I11)</f>
        <v>Y</v>
      </c>
      <c r="M8" s="220">
        <f>IF(L8="","",IF('data input for RPA'!J11="Y","Y",""))</f>
      </c>
      <c r="N8" s="295">
        <f>IF(M8="Y",'data input for RPA'!K11,"")</f>
      </c>
      <c r="O8" s="402">
        <f>IF(M8="Y","",IF(L8="Y",'data input for RPA'!L11,""))</f>
        <v>0.1268</v>
      </c>
      <c r="P8" s="344">
        <f t="shared" si="4"/>
      </c>
      <c r="Q8" s="236" t="str">
        <f t="shared" si="5"/>
        <v>B&lt;C, Step 7</v>
      </c>
      <c r="R8" s="350">
        <f>'data input for RPA'!O11</f>
      </c>
      <c r="S8" s="220">
        <f t="shared" si="1"/>
      </c>
      <c r="T8" s="263">
        <f t="shared" si="2"/>
      </c>
      <c r="U8" s="398">
        <f>IF(WQBELs!AO15="","",WQBELs!AO15)</f>
      </c>
      <c r="V8" s="399">
        <f>IF(WQBELs!AP15="","",WQBELs!AP15)</f>
      </c>
    </row>
    <row r="9" spans="1:22" ht="12.75">
      <c r="A9" s="223" t="s">
        <v>81</v>
      </c>
      <c r="B9" s="232" t="s">
        <v>82</v>
      </c>
      <c r="C9" s="262">
        <f>Criteria!C15</f>
        <v>134.35736681362496</v>
      </c>
      <c r="D9" s="220" t="str">
        <f>IF('data input for RPA'!C12="","",'data input for RPA'!C12)</f>
        <v>Y</v>
      </c>
      <c r="E9" s="220" t="str">
        <f>IF('data input for RPA'!D12="","",'data input for RPA'!D12)</f>
        <v>N</v>
      </c>
      <c r="F9" s="220">
        <f>IF('data input for RPA'!E12="","",'data input for RPA'!E12)</f>
      </c>
      <c r="G9" s="220">
        <f>IF(D9="","",IF(E9="Y","",'data input for RPA'!F12))</f>
        <v>2.86</v>
      </c>
      <c r="H9" s="236">
        <f t="shared" si="0"/>
      </c>
      <c r="I9" s="264">
        <f t="shared" si="3"/>
        <v>2.86</v>
      </c>
      <c r="J9" s="220" t="str">
        <f t="shared" si="6"/>
        <v>MEC&lt;C, go to Step 5</v>
      </c>
      <c r="K9" s="341"/>
      <c r="L9" s="220">
        <f>IF('data input for RPA'!I12="N","",'data input for RPA'!I12)</f>
      </c>
      <c r="M9" s="220">
        <f>IF(L9="","",IF('data input for RPA'!J12="Y","Y",""))</f>
      </c>
      <c r="N9" s="295">
        <f>IF(M9="Y",'data input for RPA'!K12,"")</f>
      </c>
      <c r="O9" s="402">
        <f>IF(M9="Y","",IF(L9="Y",'data input for RPA'!L12,""))</f>
      </c>
      <c r="P9" s="344">
        <f t="shared" si="4"/>
      </c>
      <c r="Q9" s="236" t="str">
        <f t="shared" si="5"/>
        <v>No detected value of B, Step 7</v>
      </c>
      <c r="R9" s="350">
        <f>'data input for RPA'!O12</f>
      </c>
      <c r="S9" s="220">
        <f t="shared" si="1"/>
      </c>
      <c r="T9" s="263">
        <f t="shared" si="2"/>
      </c>
      <c r="U9" s="398">
        <f>IF(WQBELs!AO16="","",WQBELs!AO16)</f>
      </c>
      <c r="V9" s="399">
        <f>IF(WQBELs!AP16="","",WQBELs!AP16)</f>
      </c>
    </row>
    <row r="10" spans="1:22" ht="12.75">
      <c r="A10" s="223" t="s">
        <v>83</v>
      </c>
      <c r="B10" s="224" t="s">
        <v>260</v>
      </c>
      <c r="C10" s="262">
        <f>Criteria!C16</f>
        <v>11.434511434511435</v>
      </c>
      <c r="D10" s="220" t="str">
        <f>IF('data input for RPA'!C13="","",'data input for RPA'!C13)</f>
        <v>Y</v>
      </c>
      <c r="E10" s="220" t="str">
        <f>IF('data input for RPA'!D13="","",'data input for RPA'!D13)</f>
        <v>N</v>
      </c>
      <c r="F10" s="220">
        <f>IF('data input for RPA'!E13="","",'data input for RPA'!E13)</f>
      </c>
      <c r="G10" s="220">
        <f>IF(D10="","",IF(E10="Y","",'data input for RPA'!F13))</f>
        <v>1.44</v>
      </c>
      <c r="H10" s="236">
        <f t="shared" si="0"/>
      </c>
      <c r="I10" s="264">
        <f t="shared" si="3"/>
        <v>1.44</v>
      </c>
      <c r="J10" s="220" t="str">
        <f t="shared" si="6"/>
        <v>MEC&lt;C, go to Step 5</v>
      </c>
      <c r="K10" s="340"/>
      <c r="L10" s="220" t="str">
        <f>IF('data input for RPA'!I13="N","",'data input for RPA'!I13)</f>
        <v>Y</v>
      </c>
      <c r="M10" s="220">
        <f>IF(L10="","",IF('data input for RPA'!J13="Y","Y",""))</f>
      </c>
      <c r="N10" s="295">
        <f>IF(M10="Y",'data input for RPA'!K13,"")</f>
      </c>
      <c r="O10" s="402">
        <f>IF(M10="Y","",IF(L10="Y",'data input for RPA'!L13,""))</f>
        <v>4.4</v>
      </c>
      <c r="P10" s="344">
        <f t="shared" si="4"/>
      </c>
      <c r="Q10" s="236" t="str">
        <f t="shared" si="5"/>
        <v>B&lt;C, Step 7</v>
      </c>
      <c r="R10" s="350">
        <f>'data input for RPA'!O13</f>
      </c>
      <c r="S10" s="220">
        <f t="shared" si="1"/>
      </c>
      <c r="T10" s="263">
        <f t="shared" si="2"/>
      </c>
      <c r="U10" s="398">
        <f>IF(WQBELs!AO17="","",WQBELs!AO17)</f>
      </c>
      <c r="V10" s="399">
        <f>IF(WQBELs!AP17="","",WQBELs!AP17)</f>
      </c>
    </row>
    <row r="11" spans="1:22" ht="12.75">
      <c r="A11" s="223">
        <v>6</v>
      </c>
      <c r="B11" s="229" t="s">
        <v>261</v>
      </c>
      <c r="C11" s="405">
        <f>Criteria!C17</f>
        <v>3.734939759036145</v>
      </c>
      <c r="D11" s="220" t="str">
        <f>IF('data input for RPA'!C14="","",'data input for RPA'!C14)</f>
        <v>Y</v>
      </c>
      <c r="E11" s="220" t="str">
        <f>IF('data input for RPA'!D14="","",'data input for RPA'!D14)</f>
        <v>N</v>
      </c>
      <c r="F11" s="220">
        <f>IF('data input for RPA'!E14="","",'data input for RPA'!E14)</f>
      </c>
      <c r="G11" s="220">
        <f>IF(D11="","",IF(E11="Y","",'data input for RPA'!F14))</f>
        <v>6.73</v>
      </c>
      <c r="H11" s="236">
        <f t="shared" si="0"/>
      </c>
      <c r="I11" s="264">
        <f t="shared" si="3"/>
        <v>6.73</v>
      </c>
      <c r="J11" s="220" t="str">
        <f t="shared" si="6"/>
        <v>Y</v>
      </c>
      <c r="K11" s="340"/>
      <c r="L11" s="220" t="str">
        <f>IF('data input for RPA'!I14="N","",'data input for RPA'!I14)</f>
        <v>Y</v>
      </c>
      <c r="M11" s="220">
        <f>IF(L11="","",IF('data input for RPA'!J14="Y","Y",""))</f>
      </c>
      <c r="N11" s="295">
        <f>IF(M11="Y",'data input for RPA'!K14,"")</f>
      </c>
      <c r="O11" s="402">
        <f>IF(M11="Y","",IF(L11="Y",'data input for RPA'!L14,""))</f>
        <v>2.45</v>
      </c>
      <c r="P11" s="344">
        <f t="shared" si="4"/>
      </c>
      <c r="Q11" s="236" t="str">
        <f t="shared" si="5"/>
        <v>B&lt;C, Step 7</v>
      </c>
      <c r="R11" s="350">
        <f>'data input for RPA'!O14</f>
      </c>
      <c r="S11" s="220" t="str">
        <f t="shared" si="1"/>
        <v>Y</v>
      </c>
      <c r="T11" s="263" t="str">
        <f t="shared" si="2"/>
        <v>MEC =&gt; C  [6.730 ug/l  vs 3.735 ug/l ]</v>
      </c>
      <c r="U11" s="400">
        <f>IF(WQBELs!AO18="","",WQBELs!AO18)</f>
        <v>24.51567851610752</v>
      </c>
      <c r="V11" s="401">
        <f>IF(WQBELs!AP18="","",WQBELs!AP18)</f>
        <v>12.734098439108132</v>
      </c>
    </row>
    <row r="12" spans="1:22" ht="12.75">
      <c r="A12" s="223">
        <v>7</v>
      </c>
      <c r="B12" s="224" t="s">
        <v>262</v>
      </c>
      <c r="C12" s="262">
        <f>Criteria!C18</f>
        <v>1.6253207259008415</v>
      </c>
      <c r="D12" s="220" t="str">
        <f>IF('data input for RPA'!C15="","",'data input for RPA'!C15)</f>
        <v>Y</v>
      </c>
      <c r="E12" s="220" t="str">
        <f>IF('data input for RPA'!D15="","",'data input for RPA'!D15)</f>
        <v>N</v>
      </c>
      <c r="F12" s="220">
        <f>IF('data input for RPA'!E15="","",'data input for RPA'!E15)</f>
      </c>
      <c r="G12" s="220">
        <f>IF(D12="","",IF(E12="Y","",'data input for RPA'!F15))</f>
        <v>2.68</v>
      </c>
      <c r="H12" s="236">
        <f t="shared" si="0"/>
      </c>
      <c r="I12" s="264">
        <f t="shared" si="3"/>
        <v>2.68</v>
      </c>
      <c r="J12" s="220" t="str">
        <f t="shared" si="6"/>
        <v>Y</v>
      </c>
      <c r="K12" s="340"/>
      <c r="L12" s="220" t="str">
        <f>IF('data input for RPA'!I15="N","",'data input for RPA'!I15)</f>
        <v>Y</v>
      </c>
      <c r="M12" s="220">
        <f>IF(L12="","",IF('data input for RPA'!J15="Y","Y",""))</f>
      </c>
      <c r="N12" s="295">
        <f>IF(M12="Y",'data input for RPA'!K15,"")</f>
      </c>
      <c r="O12" s="402">
        <f>IF(M12="Y","",IF(L12="Y",'data input for RPA'!L15,""))</f>
        <v>0.8</v>
      </c>
      <c r="P12" s="344">
        <f t="shared" si="4"/>
      </c>
      <c r="Q12" s="236" t="str">
        <f t="shared" si="5"/>
        <v>B&lt;C, Step 7</v>
      </c>
      <c r="R12" s="350">
        <f>'data input for RPA'!O15</f>
      </c>
      <c r="S12" s="220" t="str">
        <f t="shared" si="1"/>
        <v>Y</v>
      </c>
      <c r="T12" s="263" t="str">
        <f t="shared" si="2"/>
        <v>MEC =&gt; C  [2.680 ug/l  vs 1.625 ug/l ]</v>
      </c>
      <c r="U12" s="400">
        <f>IF(WQBELs!AO19="","",WQBELs!AO19)</f>
        <v>14.871422982165349</v>
      </c>
      <c r="V12" s="401">
        <f>IF(WQBELs!AP19="","",WQBELs!AP19)</f>
        <v>7.412772085439745</v>
      </c>
    </row>
    <row r="13" spans="1:22" ht="12.75">
      <c r="A13" s="223">
        <v>8</v>
      </c>
      <c r="B13" s="229" t="s">
        <v>263</v>
      </c>
      <c r="C13" s="262">
        <f>Criteria!C19</f>
        <v>0.025</v>
      </c>
      <c r="D13" s="220" t="str">
        <f>IF('data input for RPA'!C16="","",'data input for RPA'!C16)</f>
        <v>Y</v>
      </c>
      <c r="E13" s="220" t="str">
        <f>IF('data input for RPA'!D16="","",'data input for RPA'!D16)</f>
        <v>N</v>
      </c>
      <c r="F13" s="220">
        <f>IF('data input for RPA'!E16="","",'data input for RPA'!E16)</f>
      </c>
      <c r="G13" s="220">
        <f>IF(D13="","",IF(E13="Y","",'data input for RPA'!F16))</f>
        <v>0.11</v>
      </c>
      <c r="H13" s="236">
        <f t="shared" si="0"/>
      </c>
      <c r="I13" s="264">
        <f t="shared" si="3"/>
        <v>0.11</v>
      </c>
      <c r="J13" s="220" t="str">
        <f t="shared" si="6"/>
        <v>Y</v>
      </c>
      <c r="K13" s="340"/>
      <c r="L13" s="220" t="str">
        <f>IF('data input for RPA'!I16="N","",'data input for RPA'!I16)</f>
        <v>Y</v>
      </c>
      <c r="M13" s="220">
        <f>IF(L13="","",IF('data input for RPA'!J16="Y","Y",""))</f>
      </c>
      <c r="N13" s="295">
        <f>IF(M13="Y",'data input for RPA'!K16,"")</f>
      </c>
      <c r="O13" s="402">
        <f>IF(M13="Y","",IF(L13="Y",'data input for RPA'!L16,""))</f>
        <v>0.0086</v>
      </c>
      <c r="P13" s="344">
        <f t="shared" si="4"/>
      </c>
      <c r="Q13" s="220" t="str">
        <f t="shared" si="5"/>
        <v>B&lt;C, Step 7</v>
      </c>
      <c r="R13" s="350">
        <f>'data input for RPA'!O16</f>
      </c>
      <c r="S13" s="220" t="str">
        <f t="shared" si="1"/>
        <v>Y</v>
      </c>
      <c r="T13" s="263" t="str">
        <f t="shared" si="2"/>
        <v>MEC =&gt; C  [0.110 ug/l  vs 0.025 ug/l ]</v>
      </c>
      <c r="U13" s="403">
        <f>IF(WQBELs!AO20="","",WQBELs!AO20)</f>
        <v>0.04622394733328955</v>
      </c>
      <c r="V13" s="404">
        <f>IF(WQBELs!AP20="","",WQBELs!AP20)</f>
        <v>0.017174317748821732</v>
      </c>
    </row>
    <row r="14" spans="1:22" ht="12.75">
      <c r="A14" s="223">
        <v>9</v>
      </c>
      <c r="B14" s="231" t="s">
        <v>264</v>
      </c>
      <c r="C14" s="262">
        <f>Criteria!C20</f>
        <v>8.282828282828282</v>
      </c>
      <c r="D14" s="220" t="str">
        <f>IF('data input for RPA'!C17="","",'data input for RPA'!C17)</f>
        <v>Y</v>
      </c>
      <c r="E14" s="220" t="str">
        <f>IF('data input for RPA'!D17="","",'data input for RPA'!D17)</f>
        <v>N</v>
      </c>
      <c r="F14" s="220">
        <f>IF('data input for RPA'!E17="","",'data input for RPA'!E17)</f>
      </c>
      <c r="G14" s="220">
        <f>IF(D14="","",IF(E14="Y","",'data input for RPA'!F17))</f>
        <v>37.8</v>
      </c>
      <c r="H14" s="236">
        <f t="shared" si="0"/>
      </c>
      <c r="I14" s="264">
        <f t="shared" si="3"/>
        <v>37.8</v>
      </c>
      <c r="J14" s="220" t="str">
        <f t="shared" si="6"/>
        <v>Y</v>
      </c>
      <c r="K14" s="340"/>
      <c r="L14" s="220" t="str">
        <f>IF('data input for RPA'!I17="N","",'data input for RPA'!I17)</f>
        <v>Y</v>
      </c>
      <c r="M14" s="220">
        <f>IF(L14="","",IF('data input for RPA'!J17="Y","Y",""))</f>
      </c>
      <c r="N14" s="295">
        <f>IF(M14="Y",'data input for RPA'!K17,"")</f>
      </c>
      <c r="O14" s="402">
        <f>IF(M14="Y","",IF(L14="Y",'data input for RPA'!L17,""))</f>
        <v>3.7</v>
      </c>
      <c r="P14" s="344">
        <f t="shared" si="4"/>
      </c>
      <c r="Q14" s="220" t="str">
        <f t="shared" si="5"/>
        <v>B&lt;C, Step 7</v>
      </c>
      <c r="R14" s="350">
        <f>'data input for RPA'!O17</f>
      </c>
      <c r="S14" s="220" t="str">
        <f t="shared" si="1"/>
        <v>Y</v>
      </c>
      <c r="T14" s="263" t="str">
        <f t="shared" si="2"/>
        <v>MEC =&gt; C  [37.800 ug/l  vs 8.283 ug/l ]</v>
      </c>
      <c r="U14" s="400">
        <f>IF(WQBELs!AO21="","",WQBELs!AO21)</f>
        <v>66.10316370101191</v>
      </c>
      <c r="V14" s="401">
        <f>IF(WQBELs!AP21="","",WQBELs!AP21)</f>
        <v>45.0146450563785</v>
      </c>
    </row>
    <row r="15" spans="1:22" ht="12.75">
      <c r="A15" s="223">
        <v>10</v>
      </c>
      <c r="B15" s="229" t="s">
        <v>265</v>
      </c>
      <c r="C15" s="262">
        <f>Criteria!C21</f>
        <v>5</v>
      </c>
      <c r="D15" s="220" t="str">
        <f>IF('data input for RPA'!C18="","",'data input for RPA'!C18)</f>
        <v>Y</v>
      </c>
      <c r="E15" s="220" t="str">
        <f>IF('data input for RPA'!D18="","",'data input for RPA'!D18)</f>
        <v>N</v>
      </c>
      <c r="F15" s="220">
        <f>IF('data input for RPA'!E18="","",'data input for RPA'!E18)</f>
      </c>
      <c r="G15" s="220">
        <f>IF(D15="","",IF(E15="Y","",'data input for RPA'!F18))</f>
        <v>22.1</v>
      </c>
      <c r="H15" s="236">
        <f t="shared" si="0"/>
      </c>
      <c r="I15" s="264">
        <f t="shared" si="3"/>
        <v>22.1</v>
      </c>
      <c r="J15" s="220" t="str">
        <f t="shared" si="6"/>
        <v>Y</v>
      </c>
      <c r="K15" s="340"/>
      <c r="L15" s="220" t="str">
        <f>IF('data input for RPA'!I18="N","",'data input for RPA'!I18)</f>
        <v>Y</v>
      </c>
      <c r="M15" s="220">
        <f>IF(L15="","",IF('data input for RPA'!J18="Y","Y",""))</f>
      </c>
      <c r="N15" s="295">
        <f>IF(M15="Y",'data input for RPA'!K18,"")</f>
      </c>
      <c r="O15" s="402">
        <f>IF(M15="Y","",IF(L15="Y",'data input for RPA'!L18,""))</f>
        <v>0.39</v>
      </c>
      <c r="P15" s="344">
        <f t="shared" si="4"/>
      </c>
      <c r="Q15" s="220" t="str">
        <f t="shared" si="5"/>
        <v>B&lt;C, Step 7</v>
      </c>
      <c r="R15" s="350">
        <f>'data input for RPA'!O18</f>
      </c>
      <c r="S15" s="220" t="str">
        <f t="shared" si="1"/>
        <v>Y</v>
      </c>
      <c r="T15" s="263" t="str">
        <f t="shared" si="2"/>
        <v>MEC =&gt; C  [22.100 ug/l  vs 5.000 ug/l ]</v>
      </c>
      <c r="U15" s="400">
        <f>IF(WQBELs!AO22="","",WQBELs!AO22)</f>
        <v>7.385830253902069</v>
      </c>
      <c r="V15" s="401">
        <f>IF(WQBELs!AP22="","",WQBELs!AP22)</f>
        <v>4.3499553727791564</v>
      </c>
    </row>
    <row r="16" spans="1:22" ht="12.75">
      <c r="A16" s="223">
        <v>11</v>
      </c>
      <c r="B16" s="232" t="s">
        <v>266</v>
      </c>
      <c r="C16" s="262">
        <f>Criteria!C22</f>
        <v>1.0674399396994791</v>
      </c>
      <c r="D16" s="220" t="str">
        <f>IF('data input for RPA'!C19="","",'data input for RPA'!C19)</f>
        <v>Y</v>
      </c>
      <c r="E16" s="220" t="str">
        <f>IF('data input for RPA'!D19="","",'data input for RPA'!D19)</f>
        <v>Y</v>
      </c>
      <c r="F16" s="220">
        <f>IF('data input for RPA'!E19="","",'data input for RPA'!E19)</f>
        <v>0.5</v>
      </c>
      <c r="G16" s="220">
        <f>IF(D16="","",IF(E16="Y","",'data input for RPA'!F19))</f>
      </c>
      <c r="H16" s="236" t="str">
        <f t="shared" si="0"/>
        <v>MDL&lt;=C, MDL=MEC</v>
      </c>
      <c r="I16" s="264">
        <f t="shared" si="3"/>
        <v>0.5</v>
      </c>
      <c r="J16" s="220" t="str">
        <f t="shared" si="6"/>
        <v>MEC&lt;C, go to Step 5</v>
      </c>
      <c r="K16" s="340"/>
      <c r="L16" s="220" t="str">
        <f>IF('data input for RPA'!I19="N","",'data input for RPA'!I19)</f>
        <v>Y</v>
      </c>
      <c r="M16" s="220">
        <f>IF(L16="","",IF('data input for RPA'!J19="Y","Y",""))</f>
      </c>
      <c r="N16" s="295">
        <f>IF(M16="Y",'data input for RPA'!K19,"")</f>
      </c>
      <c r="O16" s="402">
        <f>IF(M16="Y","",IF(L16="Y",'data input for RPA'!L19,""))</f>
        <v>0.0516</v>
      </c>
      <c r="P16" s="344">
        <f t="shared" si="4"/>
      </c>
      <c r="Q16" s="220" t="str">
        <f t="shared" si="5"/>
        <v>B&lt;C, Step 7</v>
      </c>
      <c r="R16" s="350">
        <f>'data input for RPA'!O19</f>
      </c>
      <c r="S16" s="220">
        <f t="shared" si="1"/>
      </c>
      <c r="T16" s="263">
        <f t="shared" si="2"/>
      </c>
      <c r="U16" s="400">
        <f>IF(WQBELs!AO23="","",WQBELs!AO23)</f>
      </c>
      <c r="V16" s="401">
        <f>IF(WQBELs!AP23="","",WQBELs!AP23)</f>
      </c>
    </row>
    <row r="17" spans="1:22" ht="12.75">
      <c r="A17" s="223">
        <v>12</v>
      </c>
      <c r="B17" s="232" t="s">
        <v>91</v>
      </c>
      <c r="C17" s="262">
        <f>Criteria!C23</f>
        <v>6.3</v>
      </c>
      <c r="D17" s="220" t="str">
        <f>IF('data input for RPA'!C20="","",'data input for RPA'!C20)</f>
        <v>Y</v>
      </c>
      <c r="E17" s="220" t="str">
        <f>IF('data input for RPA'!D20="","",'data input for RPA'!D20)</f>
        <v>N</v>
      </c>
      <c r="F17" s="220">
        <f>IF('data input for RPA'!E20="","",'data input for RPA'!E20)</f>
      </c>
      <c r="G17" s="220">
        <f>IF(D17="","",IF(E17="Y","",'data input for RPA'!F20))</f>
        <v>1.46</v>
      </c>
      <c r="H17" s="236">
        <f t="shared" si="0"/>
      </c>
      <c r="I17" s="264">
        <f t="shared" si="3"/>
        <v>1.46</v>
      </c>
      <c r="J17" s="220" t="str">
        <f t="shared" si="6"/>
        <v>MEC&lt;C, go to Step 5</v>
      </c>
      <c r="K17" s="341"/>
      <c r="L17" s="220" t="str">
        <f>IF('data input for RPA'!I20="N","",'data input for RPA'!I20)</f>
        <v>Y</v>
      </c>
      <c r="M17" s="220">
        <f>IF(L17="","",IF('data input for RPA'!J20="Y","Y",""))</f>
      </c>
      <c r="N17" s="295">
        <f>IF(M17="Y",'data input for RPA'!K20,"")</f>
      </c>
      <c r="O17" s="402">
        <f>IF(M17="Y","",IF(L17="Y",'data input for RPA'!L20,""))</f>
        <v>0.21</v>
      </c>
      <c r="P17" s="344">
        <f t="shared" si="4"/>
      </c>
      <c r="Q17" s="220" t="str">
        <f t="shared" si="5"/>
        <v>B&lt;C, Step 7</v>
      </c>
      <c r="R17" s="350">
        <f>'data input for RPA'!O20</f>
      </c>
      <c r="S17" s="220">
        <f t="shared" si="1"/>
      </c>
      <c r="T17" s="263">
        <f t="shared" si="2"/>
      </c>
      <c r="U17" s="400">
        <f>IF(WQBELs!AO24="","",WQBELs!AO24)</f>
      </c>
      <c r="V17" s="401">
        <f>IF(WQBELs!AP24="","",WQBELs!AP24)</f>
      </c>
    </row>
    <row r="18" spans="1:22" ht="12.75">
      <c r="A18" s="223">
        <v>13</v>
      </c>
      <c r="B18" s="229" t="s">
        <v>267</v>
      </c>
      <c r="C18" s="262">
        <f>Criteria!C24</f>
        <v>76.62301405629962</v>
      </c>
      <c r="D18" s="220" t="str">
        <f>IF('data input for RPA'!C21="","",'data input for RPA'!C21)</f>
        <v>Y</v>
      </c>
      <c r="E18" s="220" t="str">
        <f>IF('data input for RPA'!D21="","",'data input for RPA'!D21)</f>
        <v>N</v>
      </c>
      <c r="F18" s="220">
        <f>IF('data input for RPA'!E21="","",'data input for RPA'!E21)</f>
      </c>
      <c r="G18" s="220">
        <f>IF(D18="","",IF(E18="Y","",'data input for RPA'!F21))</f>
        <v>50.41</v>
      </c>
      <c r="H18" s="236">
        <f t="shared" si="0"/>
      </c>
      <c r="I18" s="264">
        <f t="shared" si="3"/>
        <v>50.41</v>
      </c>
      <c r="J18" s="220" t="str">
        <f t="shared" si="6"/>
        <v>MEC&lt;C, go to Step 5</v>
      </c>
      <c r="K18" s="340"/>
      <c r="L18" s="220" t="str">
        <f>IF('data input for RPA'!I21="N","",'data input for RPA'!I21)</f>
        <v>Y</v>
      </c>
      <c r="M18" s="220">
        <f>IF(L18="","",IF('data input for RPA'!J21="Y","Y",""))</f>
      </c>
      <c r="N18" s="295">
        <f>IF(M18="Y",'data input for RPA'!K21,"")</f>
      </c>
      <c r="O18" s="402">
        <v>5.1</v>
      </c>
      <c r="P18" s="344">
        <f t="shared" si="4"/>
      </c>
      <c r="Q18" s="220" t="str">
        <f t="shared" si="5"/>
        <v>B&lt;C, Step 7</v>
      </c>
      <c r="R18" s="350">
        <f>'data input for RPA'!O21</f>
      </c>
      <c r="S18" s="220">
        <f t="shared" si="1"/>
      </c>
      <c r="T18" s="263">
        <f>IF(C18="No Criteria","Uo - No Criteria",IF(J18="Y","MEC =&gt; C  ["&amp;TEXT(I18,"0.000")&amp;" ug/l  vs "&amp;TEXT(C18,"0.000")&amp;" ug/l ]",IF(Q18="Y","B  &gt; C  ["&amp;TEXT(O18,"0.000")&amp;" ug/l vs "&amp;TEXT(C18,"0.000")&amp;"ug/l]",IF(R18="Y","RP by Trigger III and Staff BPJ",IF(D18="",IF(L18="","Ud, No effluent data, no background data","Ud-No Effluent Data"),IF(H18="MDL &gt; C, Interim Monitor, Go To Step 5","Effluent MDL &gt; C, Interim Monitor",""))))))</f>
      </c>
      <c r="U18" s="400">
        <f>IF(WQBELs!AO25="","",WQBELs!AO25)</f>
      </c>
      <c r="V18" s="401">
        <f>IF(WQBELs!AP25="","",WQBELs!AP25)</f>
      </c>
    </row>
    <row r="19" spans="1:22" ht="12.75">
      <c r="A19" s="223">
        <v>14</v>
      </c>
      <c r="B19" s="229" t="s">
        <v>268</v>
      </c>
      <c r="C19" s="262">
        <f>Criteria!C25</f>
        <v>1</v>
      </c>
      <c r="D19" s="220" t="str">
        <f>IF('data input for RPA'!C22="","",'data input for RPA'!C22)</f>
        <v>Y</v>
      </c>
      <c r="E19" s="220" t="str">
        <f>IF('data input for RPA'!D22="","",'data input for RPA'!D22)</f>
        <v>N</v>
      </c>
      <c r="F19" s="220">
        <f>IF('data input for RPA'!E22="","",'data input for RPA'!E22)</f>
      </c>
      <c r="G19" s="220">
        <f>IF(D19="","",IF(E19="Y","",'data input for RPA'!F22))</f>
        <v>4.8</v>
      </c>
      <c r="H19" s="236">
        <f t="shared" si="0"/>
      </c>
      <c r="I19" s="264">
        <f t="shared" si="3"/>
        <v>4.8</v>
      </c>
      <c r="J19" s="220" t="str">
        <f t="shared" si="6"/>
        <v>Y</v>
      </c>
      <c r="K19" s="340"/>
      <c r="L19" s="220" t="str">
        <f>IF('data input for RPA'!I22="N","",'data input for RPA'!I22)</f>
        <v>Y</v>
      </c>
      <c r="M19" s="220" t="str">
        <f>IF(L19="","",IF('data input for RPA'!J22="Y","Y",""))</f>
        <v>Y</v>
      </c>
      <c r="N19" s="295">
        <f>IF(M19="Y",'data input for RPA'!K22,"")</f>
        <v>0.4</v>
      </c>
      <c r="O19" s="402">
        <f>IF(M19="Y","",IF(L19="Y",'data input for RPA'!L22,""))</f>
      </c>
      <c r="P19" s="344" t="b">
        <f t="shared" si="4"/>
        <v>0</v>
      </c>
      <c r="Q19" s="220" t="str">
        <f t="shared" si="5"/>
        <v>No detected value of B, Step 7</v>
      </c>
      <c r="R19" s="350">
        <f>'data input for RPA'!O22</f>
      </c>
      <c r="S19" s="220" t="str">
        <f t="shared" si="1"/>
        <v>Y</v>
      </c>
      <c r="T19" s="263" t="str">
        <f>IF(C19="No Criteria","Uo - No Criteria",IF(J19="Y","MEC =&gt; C  ["&amp;TEXT(I19,"0.000")&amp;" ug/l  vs "&amp;TEXT(C19,"0.000")&amp;" ug/l ]",IF(Q19="Y","B  &gt; C  ["&amp;TEXT(O19,"0.000")&amp;" ug/l vs "&amp;TEXT(C19,"0.000")&amp;"ug/l]",IF(R19="Y","RP by Trigger III and Staff BPJ",IF(D19="",IF(L19="","Ud, No effluent data, no background data","Ud-No Effluent Data"),IF(H19="MDL &gt; C, Interim Monitor, Go To Step 5","Effluent MDL &gt; C, Interim Monitor",""))))))</f>
        <v>MEC =&gt; C  [4.800 ug/l  vs 1.000 ug/l ]</v>
      </c>
      <c r="U19" s="398">
        <f>IF(WQBELs!AO26="","",WQBELs!AO26)</f>
        <v>6.3999999999999995</v>
      </c>
      <c r="V19" s="399">
        <f>IF(WQBELs!AP26="","",WQBELs!AP26)</f>
        <v>3.6501699908271332</v>
      </c>
    </row>
    <row r="20" spans="1:22" ht="12.75">
      <c r="A20" s="223">
        <v>15</v>
      </c>
      <c r="B20" s="224" t="s">
        <v>94</v>
      </c>
      <c r="C20" s="262" t="str">
        <f>Criteria!C26</f>
        <v>No Criteria</v>
      </c>
      <c r="D20" s="220">
        <f>IF('data input for RPA'!C23="","",'data input for RPA'!C23)</f>
      </c>
      <c r="E20" s="220">
        <f>IF('data input for RPA'!D23="","",'data input for RPA'!D23)</f>
      </c>
      <c r="F20" s="220">
        <f>IF('data input for RPA'!E23="","",'data input for RPA'!E23)</f>
      </c>
      <c r="G20" s="220">
        <f>IF(D20="","",IF(E20="Y","",'data input for RPA'!F23))</f>
      </c>
      <c r="H20" s="236" t="str">
        <f t="shared" si="0"/>
        <v>No Criteria</v>
      </c>
      <c r="I20" s="264">
        <f t="shared" si="3"/>
      </c>
      <c r="J20" s="220" t="str">
        <f t="shared" si="6"/>
        <v>No Criteria</v>
      </c>
      <c r="K20" s="340"/>
      <c r="L20" s="220">
        <f>IF('data input for RPA'!I23="N","",'data input for RPA'!I23)</f>
      </c>
      <c r="M20" s="220">
        <f>IF(L20="","",IF('data input for RPA'!J23="Y","Y",""))</f>
      </c>
      <c r="N20" s="295">
        <f>IF(M20="Y",'data input for RPA'!K23,"")</f>
      </c>
      <c r="O20" s="402">
        <f>IF(M20="Y","",IF(L20="Y",'data input for RPA'!L23,""))</f>
      </c>
      <c r="P20" s="344">
        <f t="shared" si="4"/>
      </c>
      <c r="Q20" s="220" t="str">
        <f t="shared" si="5"/>
        <v>No Criteria</v>
      </c>
      <c r="R20" s="350" t="str">
        <f>'data input for RPA'!O23</f>
        <v>No Criteria</v>
      </c>
      <c r="S20" s="220">
        <f t="shared" si="1"/>
      </c>
      <c r="T20" s="263" t="str">
        <f>IF(C20="No Criteria","Uo - No Criteria",IF(J20="Y","MEC =&gt; C  ["&amp;TEXT(I20,"0.000")&amp;" ug/l  vs "&amp;TEXT(C20,"0.000")&amp;" ug/l ]",IF(Q20="Y","B  &gt; C  ["&amp;TEXT(O20,"0.000")&amp;" ug/l vs "&amp;TEXT(C20,"0.000")&amp;"ug/l]",IF(R20="Y","RP by Trigger III and Staff BPJ",IF(D20="",IF(L20="","Ud, No effluent data, no background data","Ud-No Effluent Data"),IF(H20="MDL &gt; C, Interim Monitor, Go To Step 5","Effluent MDL &gt; C, Interim Monitor",""))))))</f>
        <v>Uo - No Criteria</v>
      </c>
      <c r="U20" s="398">
        <f>IF(WQBELs!AO27="","",WQBELs!AO27)</f>
      </c>
      <c r="V20" s="399">
        <f>IF(WQBELs!AP27="","",WQBELs!AP27)</f>
      </c>
    </row>
    <row r="21" spans="1:22" ht="12.75">
      <c r="A21" s="233">
        <v>16</v>
      </c>
      <c r="B21" s="423" t="s">
        <v>368</v>
      </c>
      <c r="C21" s="262">
        <f>Criteria!C27</f>
        <v>1.4E-08</v>
      </c>
      <c r="D21" s="220" t="str">
        <f>IF('data input for RPA'!C24="","",'data input for RPA'!C24)</f>
        <v>Y</v>
      </c>
      <c r="E21" s="220" t="s">
        <v>37</v>
      </c>
      <c r="F21" s="220">
        <v>3.6E-07</v>
      </c>
      <c r="G21" s="220"/>
      <c r="H21" s="236"/>
      <c r="I21" s="264"/>
      <c r="J21" s="220"/>
      <c r="K21" s="340"/>
      <c r="L21" s="220" t="str">
        <f>IF('data input for RPA'!I24="N","",'data input for RPA'!I24)</f>
        <v>Y</v>
      </c>
      <c r="M21" s="220">
        <f>IF(L21="","",IF('data input for RPA'!J24="Y","Y",""))</f>
      </c>
      <c r="N21" s="295">
        <v>3.5E-07</v>
      </c>
      <c r="O21" s="402"/>
      <c r="P21" s="344"/>
      <c r="Q21" s="220" t="str">
        <f t="shared" si="5"/>
        <v>No detected value of B, Step 7</v>
      </c>
      <c r="R21" s="350">
        <f>'data input for RPA'!O24</f>
      </c>
      <c r="S21" s="220"/>
      <c r="T21" s="263"/>
      <c r="U21" s="398"/>
      <c r="V21" s="399"/>
    </row>
    <row r="22" spans="2:22" ht="12.75">
      <c r="B22" s="234" t="s">
        <v>367</v>
      </c>
      <c r="C22" s="262">
        <f>Criteria!C27</f>
        <v>1.4E-08</v>
      </c>
      <c r="D22" s="220" t="str">
        <f>IF('data input for RPA'!C24="","",'data input for RPA'!C24)</f>
        <v>Y</v>
      </c>
      <c r="E22" s="220" t="str">
        <f>IF('data input for RPA'!D24="","",'data input for RPA'!D24)</f>
        <v>Y</v>
      </c>
      <c r="F22" s="220">
        <f>IF('data input for RPA'!E24="","",'data input for RPA'!E24)</f>
      </c>
      <c r="G22" s="220">
        <f>IF(D22="","",IF(E22="Y","",'data input for RPA'!F24))</f>
      </c>
      <c r="H22" s="236" t="str">
        <f t="shared" si="0"/>
        <v>MDL &gt; C, Interim Monitor, Go To Step 5</v>
      </c>
      <c r="I22" s="264">
        <f t="shared" si="3"/>
      </c>
      <c r="J22" s="220">
        <f t="shared" si="6"/>
      </c>
      <c r="K22" s="340"/>
      <c r="L22" s="220" t="str">
        <f>IF('data input for RPA'!I24="N","",'data input for RPA'!I24)</f>
        <v>Y</v>
      </c>
      <c r="M22" s="220">
        <f>IF(L22="","",IF('data input for RPA'!J24="Y","Y",""))</f>
      </c>
      <c r="N22" s="295">
        <f>IF(M22="Y",'data input for RPA'!K24,"")</f>
      </c>
      <c r="O22" s="402">
        <f>IF(M22="Y","",IF(L22="Y",'data input for RPA'!L24,""))</f>
        <v>7.1E-08</v>
      </c>
      <c r="P22" s="344">
        <f t="shared" si="4"/>
      </c>
      <c r="Q22" s="220" t="str">
        <f t="shared" si="5"/>
        <v>Y</v>
      </c>
      <c r="R22" s="350" t="s">
        <v>37</v>
      </c>
      <c r="S22" s="220" t="str">
        <f t="shared" si="1"/>
        <v>Y</v>
      </c>
      <c r="T22" s="263" t="s">
        <v>375</v>
      </c>
      <c r="U22" s="425">
        <v>2.808664819997145E-08</v>
      </c>
      <c r="V22" s="426">
        <v>1.4E-08</v>
      </c>
    </row>
    <row r="23" spans="1:22" ht="12.75">
      <c r="A23" s="223">
        <v>17</v>
      </c>
      <c r="B23" s="232" t="s">
        <v>96</v>
      </c>
      <c r="C23" s="262">
        <f>Criteria!C29</f>
        <v>780</v>
      </c>
      <c r="D23" s="220" t="str">
        <f>IF('data input for RPA'!C25="","",'data input for RPA'!C25)</f>
        <v>Y</v>
      </c>
      <c r="E23" s="220" t="str">
        <f>IF('data input for RPA'!D25="","",'data input for RPA'!D25)</f>
        <v>Y</v>
      </c>
      <c r="F23" s="220">
        <f>IF('data input for RPA'!E25="","",'data input for RPA'!E25)</f>
        <v>0.5</v>
      </c>
      <c r="G23" s="220"/>
      <c r="H23" s="236" t="str">
        <f t="shared" si="0"/>
        <v>MDL&lt;=C, MDL=MEC</v>
      </c>
      <c r="I23" s="264">
        <f t="shared" si="3"/>
        <v>0.5</v>
      </c>
      <c r="J23" s="220" t="str">
        <f t="shared" si="6"/>
        <v>MEC&lt;C, go to Step 5</v>
      </c>
      <c r="K23" s="341"/>
      <c r="L23" s="220" t="str">
        <f>IF('data input for RPA'!I25="N","",'data input for RPA'!I25)</f>
        <v>Y</v>
      </c>
      <c r="M23" s="220" t="str">
        <f>IF(L23="","",IF('data input for RPA'!J25="Y","Y",""))</f>
        <v>Y</v>
      </c>
      <c r="N23" s="295">
        <f>IF(M23="Y",'data input for RPA'!K25,"")</f>
        <v>0.5</v>
      </c>
      <c r="O23" s="402">
        <f>IF(M23="Y","",IF(L23="Y",'data input for RPA'!L25,""))</f>
      </c>
      <c r="P23" s="344" t="b">
        <f t="shared" si="4"/>
        <v>0</v>
      </c>
      <c r="Q23" s="220" t="str">
        <f t="shared" si="5"/>
        <v>No detected value of B, Step 7</v>
      </c>
      <c r="R23" s="350">
        <f>'data input for RPA'!O25</f>
      </c>
      <c r="S23" s="220">
        <f t="shared" si="1"/>
      </c>
      <c r="T23" s="263">
        <f aca="true" t="shared" si="7" ref="T23:T86">IF(C23="No Criteria","Uo - No Criteria",IF(J23="Y","MEC =&gt; C  ["&amp;TEXT(I23,"0.000000")&amp;" ug/l  vs "&amp;TEXT(C23,"0.000000")&amp;" ug/l ]",IF(Q23="Y","B  &gt; C  ["&amp;TEXT(O23,"0.000000")&amp;" ug/l vs "&amp;TEXT(C23,"0.000000")&amp;"ug/l]",IF(R23="Y","RP by Trigger III and Staff BPJ",IF(D23="",IF(L23="","Ud, No effluent data, no background data","Ud-No Effluent Data"),IF(H23="MDL &gt; C, Interim Monitor, Go To Step 5","Effluent MDL &gt; C, Interim Monitor",""))))))</f>
      </c>
      <c r="U23" s="398">
        <f>IF(WQBELs!AO30="","",WQBELs!AO30)</f>
      </c>
      <c r="V23" s="399">
        <f>IF(WQBELs!AP30="","",WQBELs!AP30)</f>
      </c>
    </row>
    <row r="24" spans="1:22" ht="12.75">
      <c r="A24" s="223">
        <v>18</v>
      </c>
      <c r="B24" s="232" t="s">
        <v>97</v>
      </c>
      <c r="C24" s="262">
        <f>Criteria!C30</f>
        <v>0.66</v>
      </c>
      <c r="D24" s="220" t="str">
        <f>IF('data input for RPA'!C26="","",'data input for RPA'!C26)</f>
        <v>Y</v>
      </c>
      <c r="E24" s="220" t="str">
        <f>IF('data input for RPA'!D26="","",'data input for RPA'!D26)</f>
        <v>Y</v>
      </c>
      <c r="F24" s="220">
        <f>IF('data input for RPA'!E26="","",'data input for RPA'!E26)</f>
        <v>2</v>
      </c>
      <c r="G24" s="220"/>
      <c r="H24" s="236" t="str">
        <f t="shared" si="0"/>
        <v>MDL &gt; C, Interim Monitor, Go To Step 5</v>
      </c>
      <c r="I24" s="264">
        <f t="shared" si="3"/>
      </c>
      <c r="J24" s="220">
        <f t="shared" si="6"/>
      </c>
      <c r="K24" s="341"/>
      <c r="L24" s="220" t="str">
        <f>IF('data input for RPA'!I26="N","",'data input for RPA'!I26)</f>
        <v>Y</v>
      </c>
      <c r="M24" s="220">
        <f>IF(L24="","",IF('data input for RPA'!J26="Y","Y",""))</f>
      </c>
      <c r="N24" s="295">
        <f>IF(M24="Y",'data input for RPA'!K26,"")</f>
      </c>
      <c r="O24" s="402">
        <f>IF(M24="Y","",IF(L24="Y",'data input for RPA'!L26,""))</f>
        <v>0.03</v>
      </c>
      <c r="P24" s="344">
        <f t="shared" si="4"/>
      </c>
      <c r="Q24" s="220" t="str">
        <f t="shared" si="5"/>
        <v>B&lt;C, Step 7</v>
      </c>
      <c r="R24" s="350">
        <f>'data input for RPA'!O26</f>
      </c>
      <c r="S24" s="220">
        <f t="shared" si="1"/>
      </c>
      <c r="T24" s="263" t="str">
        <f t="shared" si="7"/>
        <v>Effluent MDL &gt; C, Interim Monitor</v>
      </c>
      <c r="U24" s="398">
        <f>IF(WQBELs!AO31="","",WQBELs!AO31)</f>
      </c>
      <c r="V24" s="399">
        <f>IF(WQBELs!AP31="","",WQBELs!AP31)</f>
      </c>
    </row>
    <row r="25" spans="1:22" ht="12.75">
      <c r="A25" s="223">
        <v>19</v>
      </c>
      <c r="B25" s="232" t="s">
        <v>98</v>
      </c>
      <c r="C25" s="262">
        <f>Criteria!C31</f>
        <v>71</v>
      </c>
      <c r="D25" s="220" t="str">
        <f>IF('data input for RPA'!C27="","",'data input for RPA'!C27)</f>
        <v>Y</v>
      </c>
      <c r="E25" s="220" t="str">
        <f>IF('data input for RPA'!D27="","",'data input for RPA'!D27)</f>
        <v>Y</v>
      </c>
      <c r="F25" s="220">
        <f>IF('data input for RPA'!E27="","",'data input for RPA'!E27)</f>
        <v>0.5</v>
      </c>
      <c r="G25" s="220">
        <f>IF(D25="","",IF(E25="Y","",'data input for RPA'!F27))</f>
      </c>
      <c r="H25" s="236" t="str">
        <f t="shared" si="0"/>
        <v>MDL&lt;=C, MDL=MEC</v>
      </c>
      <c r="I25" s="264">
        <f t="shared" si="3"/>
        <v>0.5</v>
      </c>
      <c r="J25" s="220" t="str">
        <f t="shared" si="6"/>
        <v>MEC&lt;C, go to Step 5</v>
      </c>
      <c r="K25" s="341"/>
      <c r="L25" s="220" t="str">
        <f>IF('data input for RPA'!I27="N","",'data input for RPA'!I27)</f>
        <v>Y</v>
      </c>
      <c r="M25" s="220" t="str">
        <f>IF(L25="","",IF('data input for RPA'!J27="Y","Y",""))</f>
        <v>Y</v>
      </c>
      <c r="N25" s="295">
        <f>IF(M25="Y",'data input for RPA'!K27,"")</f>
        <v>0.05</v>
      </c>
      <c r="O25" s="402">
        <f>IF(M25="Y","",IF(L25="Y",'data input for RPA'!L27,""))</f>
      </c>
      <c r="P25" s="344" t="b">
        <f t="shared" si="4"/>
        <v>0</v>
      </c>
      <c r="Q25" s="220" t="str">
        <f t="shared" si="5"/>
        <v>No detected value of B, Step 7</v>
      </c>
      <c r="R25" s="350">
        <f>'data input for RPA'!O27</f>
      </c>
      <c r="S25" s="220">
        <f t="shared" si="1"/>
      </c>
      <c r="T25" s="263">
        <f t="shared" si="7"/>
      </c>
      <c r="U25" s="398">
        <f>IF(WQBELs!AO32="","",WQBELs!AO32)</f>
      </c>
      <c r="V25" s="399">
        <f>IF(WQBELs!AP32="","",WQBELs!AP32)</f>
      </c>
    </row>
    <row r="26" spans="1:22" ht="12.75">
      <c r="A26" s="223">
        <v>20</v>
      </c>
      <c r="B26" s="224" t="s">
        <v>99</v>
      </c>
      <c r="C26" s="262">
        <f>Criteria!C32</f>
        <v>360</v>
      </c>
      <c r="D26" s="220" t="str">
        <f>IF('data input for RPA'!C28="","",'data input for RPA'!C28)</f>
        <v>Y</v>
      </c>
      <c r="E26" s="220" t="str">
        <f>IF('data input for RPA'!D28="","",'data input for RPA'!D28)</f>
        <v>Y</v>
      </c>
      <c r="F26" s="220">
        <f>IF('data input for RPA'!E28="","",'data input for RPA'!E28)</f>
        <v>0.5</v>
      </c>
      <c r="G26" s="220">
        <f>IF(D26="","",IF(E26="Y","",'data input for RPA'!F28))</f>
      </c>
      <c r="H26" s="236" t="str">
        <f t="shared" si="0"/>
        <v>MDL&lt;=C, MDL=MEC</v>
      </c>
      <c r="I26" s="264">
        <f t="shared" si="3"/>
        <v>0.5</v>
      </c>
      <c r="J26" s="220" t="str">
        <f t="shared" si="6"/>
        <v>MEC&lt;C, go to Step 5</v>
      </c>
      <c r="K26" s="340"/>
      <c r="L26" s="220" t="str">
        <f>IF('data input for RPA'!I28="N","",'data input for RPA'!I28)</f>
        <v>Y</v>
      </c>
      <c r="M26" s="220" t="str">
        <f>IF(L26="","",IF('data input for RPA'!J28="Y","Y",""))</f>
        <v>Y</v>
      </c>
      <c r="N26" s="295">
        <f>IF(M26="Y",'data input for RPA'!K28,"")</f>
        <v>0.5</v>
      </c>
      <c r="O26" s="402">
        <f>IF(M26="Y","",IF(L26="Y",'data input for RPA'!L28,""))</f>
      </c>
      <c r="P26" s="344" t="b">
        <f t="shared" si="4"/>
        <v>0</v>
      </c>
      <c r="Q26" s="220" t="str">
        <f t="shared" si="5"/>
        <v>No detected value of B, Step 7</v>
      </c>
      <c r="R26" s="350">
        <f>'data input for RPA'!O28</f>
      </c>
      <c r="S26" s="220">
        <f t="shared" si="1"/>
      </c>
      <c r="T26" s="263">
        <f t="shared" si="7"/>
      </c>
      <c r="U26" s="398">
        <f>IF(WQBELs!AO33="","",WQBELs!AO33)</f>
      </c>
      <c r="V26" s="399">
        <f>IF(WQBELs!AP33="","",WQBELs!AP33)</f>
      </c>
    </row>
    <row r="27" spans="1:22" ht="12.75">
      <c r="A27" s="223">
        <v>21</v>
      </c>
      <c r="B27" s="224" t="s">
        <v>100</v>
      </c>
      <c r="C27" s="262">
        <f>Criteria!C33</f>
        <v>4.4</v>
      </c>
      <c r="D27" s="220" t="str">
        <f>IF('data input for RPA'!C29="","",'data input for RPA'!C29)</f>
        <v>Y</v>
      </c>
      <c r="E27" s="220" t="str">
        <f>IF('data input for RPA'!D29="","",'data input for RPA'!D29)</f>
        <v>Y</v>
      </c>
      <c r="F27" s="220">
        <f>IF('data input for RPA'!E29="","",'data input for RPA'!E29)</f>
        <v>0.5</v>
      </c>
      <c r="G27" s="220">
        <f>IF(D27="","",IF(E27="Y","",'data input for RPA'!F29))</f>
      </c>
      <c r="H27" s="236" t="str">
        <f t="shared" si="0"/>
        <v>MDL&lt;=C, MDL=MEC</v>
      </c>
      <c r="I27" s="264">
        <f t="shared" si="3"/>
        <v>0.5</v>
      </c>
      <c r="J27" s="220" t="str">
        <f t="shared" si="6"/>
        <v>MEC&lt;C, go to Step 5</v>
      </c>
      <c r="K27" s="340"/>
      <c r="L27" s="220" t="str">
        <f>IF('data input for RPA'!I29="N","",'data input for RPA'!I29)</f>
        <v>Y</v>
      </c>
      <c r="M27" s="220">
        <f>IF(L27="","",IF('data input for RPA'!J29="Y","Y",""))</f>
      </c>
      <c r="N27" s="295">
        <f>IF(M27="Y",'data input for RPA'!K29,"")</f>
      </c>
      <c r="O27" s="402">
        <f>IF(M27="Y","",IF(L27="Y",'data input for RPA'!L29,""))</f>
        <v>0.06</v>
      </c>
      <c r="P27" s="344">
        <f t="shared" si="4"/>
      </c>
      <c r="Q27" s="220" t="str">
        <f t="shared" si="5"/>
        <v>B&lt;C, Step 7</v>
      </c>
      <c r="R27" s="350">
        <f>'data input for RPA'!O29</f>
      </c>
      <c r="S27" s="220">
        <f t="shared" si="1"/>
      </c>
      <c r="T27" s="263">
        <f t="shared" si="7"/>
      </c>
      <c r="U27" s="398">
        <f>IF(WQBELs!AO34="","",WQBELs!AO34)</f>
      </c>
      <c r="V27" s="399">
        <f>IF(WQBELs!AP34="","",WQBELs!AP34)</f>
      </c>
    </row>
    <row r="28" spans="1:22" ht="12.75">
      <c r="A28" s="223">
        <v>22</v>
      </c>
      <c r="B28" s="224" t="s">
        <v>101</v>
      </c>
      <c r="C28" s="262">
        <f>Criteria!C34</f>
        <v>21000</v>
      </c>
      <c r="D28" s="220" t="str">
        <f>IF('data input for RPA'!C30="","",'data input for RPA'!C30)</f>
        <v>Y</v>
      </c>
      <c r="E28" s="220" t="str">
        <f>IF('data input for RPA'!D30="","",'data input for RPA'!D30)</f>
        <v>Y</v>
      </c>
      <c r="F28" s="220">
        <f>IF('data input for RPA'!E30="","",'data input for RPA'!E30)</f>
        <v>0.5</v>
      </c>
      <c r="G28" s="220">
        <f>IF(D28="","",IF(E28="Y","",'data input for RPA'!F30))</f>
      </c>
      <c r="H28" s="236" t="str">
        <f t="shared" si="0"/>
        <v>MDL&lt;=C, MDL=MEC</v>
      </c>
      <c r="I28" s="264">
        <f t="shared" si="3"/>
        <v>0.5</v>
      </c>
      <c r="J28" s="220" t="str">
        <f t="shared" si="6"/>
        <v>MEC&lt;C, go to Step 5</v>
      </c>
      <c r="K28" s="340"/>
      <c r="L28" s="220" t="str">
        <f>IF('data input for RPA'!I30="N","",'data input for RPA'!I30)</f>
        <v>Y</v>
      </c>
      <c r="M28" s="220" t="str">
        <f>IF(L28="","",IF('data input for RPA'!J30="Y","Y",""))</f>
        <v>Y</v>
      </c>
      <c r="N28" s="295">
        <f>IF(M28="Y",'data input for RPA'!K30,"")</f>
        <v>0.5</v>
      </c>
      <c r="O28" s="402">
        <f>IF(M28="Y","",IF(L28="Y",'data input for RPA'!L30,""))</f>
      </c>
      <c r="P28" s="344" t="b">
        <f t="shared" si="4"/>
        <v>0</v>
      </c>
      <c r="Q28" s="220" t="str">
        <f t="shared" si="5"/>
        <v>No detected value of B, Step 7</v>
      </c>
      <c r="R28" s="350">
        <f>'data input for RPA'!O30</f>
      </c>
      <c r="S28" s="220">
        <f t="shared" si="1"/>
      </c>
      <c r="T28" s="263">
        <f t="shared" si="7"/>
      </c>
      <c r="U28" s="398">
        <f>IF(WQBELs!AO35="","",WQBELs!AO35)</f>
      </c>
      <c r="V28" s="399">
        <f>IF(WQBELs!AP35="","",WQBELs!AP35)</f>
      </c>
    </row>
    <row r="29" spans="1:22" ht="12.75">
      <c r="A29" s="223">
        <v>23</v>
      </c>
      <c r="B29" s="224" t="s">
        <v>219</v>
      </c>
      <c r="C29" s="262">
        <f>Criteria!C35</f>
        <v>34</v>
      </c>
      <c r="D29" s="220" t="str">
        <f>IF('data input for RPA'!C31="","",'data input for RPA'!C31)</f>
        <v>Y</v>
      </c>
      <c r="E29" s="220" t="str">
        <f>IF('data input for RPA'!D31="","",'data input for RPA'!D31)</f>
        <v>Y</v>
      </c>
      <c r="F29" s="220">
        <f>IF('data input for RPA'!E31="","",'data input for RPA'!E31)</f>
        <v>0.5</v>
      </c>
      <c r="G29" s="220">
        <f>IF(D29="","",IF(E29="Y","",'data input for RPA'!F31))</f>
      </c>
      <c r="H29" s="236" t="str">
        <f t="shared" si="0"/>
        <v>MDL&lt;=C, MDL=MEC</v>
      </c>
      <c r="I29" s="264">
        <f t="shared" si="3"/>
        <v>0.5</v>
      </c>
      <c r="J29" s="220" t="str">
        <f t="shared" si="6"/>
        <v>MEC&lt;C, go to Step 5</v>
      </c>
      <c r="K29" s="340"/>
      <c r="L29" s="220" t="str">
        <f>IF('data input for RPA'!I31="N","",'data input for RPA'!I31)</f>
        <v>Y</v>
      </c>
      <c r="M29" s="220" t="str">
        <f>IF(L29="","",IF('data input for RPA'!J31="Y","Y",""))</f>
        <v>Y</v>
      </c>
      <c r="N29" s="295">
        <f>IF(M29="Y",'data input for RPA'!K31,"")</f>
        <v>0.05</v>
      </c>
      <c r="O29" s="402">
        <f>IF(M29="Y","",IF(L29="Y",'data input for RPA'!L31,""))</f>
      </c>
      <c r="P29" s="344" t="b">
        <f t="shared" si="4"/>
        <v>0</v>
      </c>
      <c r="Q29" s="220" t="str">
        <f t="shared" si="5"/>
        <v>No detected value of B, Step 7</v>
      </c>
      <c r="R29" s="350">
        <f>'data input for RPA'!O31</f>
      </c>
      <c r="S29" s="220">
        <f t="shared" si="1"/>
      </c>
      <c r="T29" s="263">
        <f t="shared" si="7"/>
      </c>
      <c r="U29" s="398">
        <f>IF(WQBELs!AO36="","",WQBELs!AO36)</f>
      </c>
      <c r="V29" s="399">
        <f>IF(WQBELs!AP36="","",WQBELs!AP36)</f>
      </c>
    </row>
    <row r="30" spans="1:22" ht="12.75">
      <c r="A30" s="223">
        <v>24</v>
      </c>
      <c r="B30" s="224" t="s">
        <v>103</v>
      </c>
      <c r="C30" s="262" t="str">
        <f>Criteria!C36</f>
        <v>No Criteria</v>
      </c>
      <c r="D30" s="220" t="str">
        <f>IF('data input for RPA'!C32="","",'data input for RPA'!C32)</f>
        <v>Y</v>
      </c>
      <c r="E30" s="220" t="str">
        <f>IF('data input for RPA'!D32="","",'data input for RPA'!D32)</f>
        <v>y</v>
      </c>
      <c r="F30" s="220">
        <f>IF('data input for RPA'!E32="","",'data input for RPA'!E32)</f>
        <v>0.5</v>
      </c>
      <c r="G30" s="220">
        <f>IF(D30="","",IF(E30="Y","",'data input for RPA'!F32))</f>
      </c>
      <c r="H30" s="236" t="str">
        <f t="shared" si="0"/>
        <v>No Criteria</v>
      </c>
      <c r="I30" s="264">
        <f t="shared" si="3"/>
        <v>0.5</v>
      </c>
      <c r="J30" s="220" t="str">
        <f t="shared" si="6"/>
        <v>No Criteria</v>
      </c>
      <c r="K30" s="340"/>
      <c r="L30" s="220" t="str">
        <f>IF('data input for RPA'!I32="N","",'data input for RPA'!I32)</f>
        <v>Y</v>
      </c>
      <c r="M30" s="220" t="str">
        <f>IF(L30="","",IF('data input for RPA'!J32="Y","Y",""))</f>
        <v>Y</v>
      </c>
      <c r="N30" s="295">
        <f>IF(M30="Y",'data input for RPA'!K32,"")</f>
        <v>0.5</v>
      </c>
      <c r="O30" s="402">
        <f>IF(M30="Y","",IF(L30="Y",'data input for RPA'!L32,""))</f>
      </c>
      <c r="P30" s="344" t="b">
        <f t="shared" si="4"/>
        <v>0</v>
      </c>
      <c r="Q30" s="220" t="str">
        <f t="shared" si="5"/>
        <v>No Criteria</v>
      </c>
      <c r="R30" s="350" t="str">
        <f>'data input for RPA'!O32</f>
        <v>No Criteria</v>
      </c>
      <c r="S30" s="220">
        <f t="shared" si="1"/>
      </c>
      <c r="T30" s="263" t="str">
        <f t="shared" si="7"/>
        <v>Uo - No Criteria</v>
      </c>
      <c r="U30" s="398">
        <f>IF(WQBELs!AO37="","",WQBELs!AO37)</f>
      </c>
      <c r="V30" s="399">
        <f>IF(WQBELs!AP37="","",WQBELs!AP37)</f>
      </c>
    </row>
    <row r="31" spans="1:22" ht="12.75">
      <c r="A31" s="223">
        <v>25</v>
      </c>
      <c r="B31" s="224" t="s">
        <v>220</v>
      </c>
      <c r="C31" s="262" t="str">
        <f>Criteria!C37</f>
        <v>No Criteria</v>
      </c>
      <c r="D31" s="220" t="str">
        <f>IF('data input for RPA'!C33="","",'data input for RPA'!C33)</f>
        <v>Y</v>
      </c>
      <c r="E31" s="220" t="str">
        <f>IF('data input for RPA'!D33="","",'data input for RPA'!D33)</f>
        <v>Y</v>
      </c>
      <c r="F31" s="220">
        <f>IF('data input for RPA'!E33="","",'data input for RPA'!E33)</f>
        <v>0.5</v>
      </c>
      <c r="G31" s="220">
        <f>IF(D31="","",IF(E31="Y","",'data input for RPA'!F33))</f>
      </c>
      <c r="H31" s="236" t="str">
        <f t="shared" si="0"/>
        <v>No Criteria</v>
      </c>
      <c r="I31" s="264">
        <f t="shared" si="3"/>
        <v>0.5</v>
      </c>
      <c r="J31" s="220" t="str">
        <f t="shared" si="6"/>
        <v>No Criteria</v>
      </c>
      <c r="K31" s="340"/>
      <c r="L31" s="220" t="str">
        <f>IF('data input for RPA'!I33="N","",'data input for RPA'!I33)</f>
        <v>Y</v>
      </c>
      <c r="M31" s="220" t="str">
        <f>IF(L31="","",IF('data input for RPA'!J33="Y","Y",""))</f>
        <v>Y</v>
      </c>
      <c r="N31" s="295">
        <f>IF(M31="Y",'data input for RPA'!K33,"")</f>
        <v>0.5</v>
      </c>
      <c r="O31" s="402">
        <f>IF(M31="Y","",IF(L31="Y",'data input for RPA'!L33,""))</f>
      </c>
      <c r="P31" s="344" t="b">
        <f t="shared" si="4"/>
        <v>0</v>
      </c>
      <c r="Q31" s="220" t="str">
        <f t="shared" si="5"/>
        <v>No Criteria</v>
      </c>
      <c r="R31" s="350" t="str">
        <f>'data input for RPA'!O33</f>
        <v>No Criteria</v>
      </c>
      <c r="S31" s="220">
        <f t="shared" si="1"/>
      </c>
      <c r="T31" s="263" t="str">
        <f t="shared" si="7"/>
        <v>Uo - No Criteria</v>
      </c>
      <c r="U31" s="398">
        <f>IF(WQBELs!AO38="","",WQBELs!AO38)</f>
      </c>
      <c r="V31" s="399">
        <f>IF(WQBELs!AP38="","",WQBELs!AP38)</f>
      </c>
    </row>
    <row r="32" spans="1:22" ht="12.75">
      <c r="A32" s="223">
        <v>26</v>
      </c>
      <c r="B32" s="224" t="s">
        <v>105</v>
      </c>
      <c r="C32" s="262" t="str">
        <f>Criteria!C38</f>
        <v>No Criteria</v>
      </c>
      <c r="D32" s="220" t="str">
        <f>IF('data input for RPA'!C34="","",'data input for RPA'!C34)</f>
        <v>Y</v>
      </c>
      <c r="E32" s="220" t="str">
        <f>IF('data input for RPA'!D34="","",'data input for RPA'!D34)</f>
        <v>N</v>
      </c>
      <c r="F32" s="220">
        <f>IF('data input for RPA'!E34="","",'data input for RPA'!E34)</f>
      </c>
      <c r="G32" s="220">
        <f>IF(D32="","",IF(E32="Y","",'data input for RPA'!F34))</f>
        <v>0.9</v>
      </c>
      <c r="H32" s="236" t="str">
        <f t="shared" si="0"/>
        <v>No Criteria</v>
      </c>
      <c r="I32" s="264">
        <f t="shared" si="3"/>
        <v>0.9</v>
      </c>
      <c r="J32" s="220" t="str">
        <f t="shared" si="6"/>
        <v>No Criteria</v>
      </c>
      <c r="K32" s="340"/>
      <c r="L32" s="220" t="str">
        <f>IF('data input for RPA'!I34="N","",'data input for RPA'!I34)</f>
        <v>Y</v>
      </c>
      <c r="M32" s="220" t="str">
        <f>IF(L32="","",IF('data input for RPA'!J34="Y","Y",""))</f>
        <v>Y</v>
      </c>
      <c r="N32" s="295">
        <f>IF(M32="Y",'data input for RPA'!K34,"")</f>
        <v>0.5</v>
      </c>
      <c r="O32" s="402">
        <f>IF(M32="Y","",IF(L32="Y",'data input for RPA'!L34,""))</f>
      </c>
      <c r="P32" s="344" t="b">
        <f t="shared" si="4"/>
        <v>0</v>
      </c>
      <c r="Q32" s="220" t="str">
        <f t="shared" si="5"/>
        <v>No Criteria</v>
      </c>
      <c r="R32" s="350" t="str">
        <f>'data input for RPA'!O34</f>
        <v>No Criteria</v>
      </c>
      <c r="S32" s="220">
        <f t="shared" si="1"/>
      </c>
      <c r="T32" s="263" t="str">
        <f t="shared" si="7"/>
        <v>Uo - No Criteria</v>
      </c>
      <c r="U32" s="398">
        <f>IF(WQBELs!AO39="","",WQBELs!AO39)</f>
      </c>
      <c r="V32" s="399">
        <f>IF(WQBELs!AP39="","",WQBELs!AP39)</f>
      </c>
    </row>
    <row r="33" spans="1:22" ht="12.75">
      <c r="A33" s="223">
        <v>27</v>
      </c>
      <c r="B33" s="224" t="s">
        <v>106</v>
      </c>
      <c r="C33" s="262">
        <f>Criteria!C39</f>
        <v>46</v>
      </c>
      <c r="D33" s="220" t="str">
        <f>IF('data input for RPA'!C35="","",'data input for RPA'!C35)</f>
        <v>Y</v>
      </c>
      <c r="E33" s="220" t="str">
        <f>IF('data input for RPA'!D35="","",'data input for RPA'!D35)</f>
        <v>Y</v>
      </c>
      <c r="F33" s="220">
        <f>IF('data input for RPA'!E35="","",'data input for RPA'!E35)</f>
        <v>0.5</v>
      </c>
      <c r="G33" s="220">
        <f>IF(D33="","",IF(E33="Y","",'data input for RPA'!F35))</f>
      </c>
      <c r="H33" s="236" t="str">
        <f t="shared" si="0"/>
        <v>MDL&lt;=C, MDL=MEC</v>
      </c>
      <c r="I33" s="264">
        <f>IF(D33="N","",IF(E33="Y",IF(F33&lt;C33,F33,""),G33))</f>
        <v>0.5</v>
      </c>
      <c r="J33" s="220" t="str">
        <f t="shared" si="6"/>
        <v>MEC&lt;C, go to Step 5</v>
      </c>
      <c r="K33" s="340"/>
      <c r="L33" s="220" t="str">
        <f>IF('data input for RPA'!I35="N","",'data input for RPA'!I35)</f>
        <v>Y</v>
      </c>
      <c r="M33" s="220" t="str">
        <f>IF(L33="","",IF('data input for RPA'!J35="Y","Y",""))</f>
        <v>Y</v>
      </c>
      <c r="N33" s="295">
        <f>IF(M33="Y",'data input for RPA'!K35,"")</f>
        <v>0.05</v>
      </c>
      <c r="O33" s="402">
        <f>IF(M33="Y","",IF(L33="Y",'data input for RPA'!L35,""))</f>
      </c>
      <c r="P33" s="344" t="b">
        <f t="shared" si="4"/>
        <v>0</v>
      </c>
      <c r="Q33" s="220" t="str">
        <f t="shared" si="5"/>
        <v>No detected value of B, Step 7</v>
      </c>
      <c r="R33" s="350">
        <f>'data input for RPA'!O35</f>
      </c>
      <c r="S33" s="220">
        <f t="shared" si="1"/>
      </c>
      <c r="T33" s="263">
        <f t="shared" si="7"/>
      </c>
      <c r="U33" s="398">
        <f>IF(WQBELs!AO40="","",WQBELs!AO40)</f>
      </c>
      <c r="V33" s="399">
        <f>IF(WQBELs!AP40="","",WQBELs!AP40)</f>
      </c>
    </row>
    <row r="34" spans="1:22" ht="12.75">
      <c r="A34" s="223">
        <v>28</v>
      </c>
      <c r="B34" s="224" t="s">
        <v>0</v>
      </c>
      <c r="C34" s="262" t="str">
        <f>Criteria!C40</f>
        <v>No Criteria</v>
      </c>
      <c r="D34" s="220" t="str">
        <f>IF('data input for RPA'!C36="","",'data input for RPA'!C36)</f>
        <v>Y</v>
      </c>
      <c r="E34" s="220" t="str">
        <f>IF('data input for RPA'!D36="","",'data input for RPA'!D36)</f>
        <v>Y</v>
      </c>
      <c r="F34" s="220">
        <f>IF('data input for RPA'!E36="","",'data input for RPA'!E36)</f>
        <v>0.5</v>
      </c>
      <c r="G34" s="220">
        <f>IF(D34="","",IF(E34="Y","",'data input for RPA'!F36))</f>
      </c>
      <c r="H34" s="236" t="str">
        <f t="shared" si="0"/>
        <v>No Criteria</v>
      </c>
      <c r="I34" s="264">
        <f t="shared" si="3"/>
        <v>0.5</v>
      </c>
      <c r="J34" s="220" t="str">
        <f t="shared" si="6"/>
        <v>No Criteria</v>
      </c>
      <c r="K34" s="340"/>
      <c r="L34" s="220" t="str">
        <f>IF('data input for RPA'!I36="N","",'data input for RPA'!I36)</f>
        <v>Y</v>
      </c>
      <c r="M34" s="220" t="str">
        <f>IF(L34="","",IF('data input for RPA'!J36="Y","Y",""))</f>
        <v>Y</v>
      </c>
      <c r="N34" s="295">
        <f>IF(M34="Y",'data input for RPA'!K36,"")</f>
        <v>0.05</v>
      </c>
      <c r="O34" s="402">
        <f>IF(M34="Y","",IF(L34="Y",'data input for RPA'!L36,""))</f>
      </c>
      <c r="P34" s="344" t="b">
        <f t="shared" si="4"/>
        <v>0</v>
      </c>
      <c r="Q34" s="220" t="str">
        <f t="shared" si="5"/>
        <v>No Criteria</v>
      </c>
      <c r="R34" s="350" t="str">
        <f>'data input for RPA'!O36</f>
        <v>No Criteria</v>
      </c>
      <c r="S34" s="220">
        <f t="shared" si="1"/>
      </c>
      <c r="T34" s="263" t="str">
        <f t="shared" si="7"/>
        <v>Uo - No Criteria</v>
      </c>
      <c r="U34" s="398">
        <f>IF(WQBELs!AO41="","",WQBELs!AO41)</f>
      </c>
      <c r="V34" s="399">
        <f>IF(WQBELs!AP41="","",WQBELs!AP41)</f>
      </c>
    </row>
    <row r="35" spans="1:22" ht="12.75">
      <c r="A35" s="223">
        <v>29</v>
      </c>
      <c r="B35" s="224" t="s">
        <v>1</v>
      </c>
      <c r="C35" s="262">
        <f>Criteria!C41</f>
        <v>99</v>
      </c>
      <c r="D35" s="220" t="str">
        <f>IF('data input for RPA'!C37="","",'data input for RPA'!C37)</f>
        <v>Y</v>
      </c>
      <c r="E35" s="220" t="str">
        <f>IF('data input for RPA'!D37="","",'data input for RPA'!D37)</f>
        <v>Y</v>
      </c>
      <c r="F35" s="220">
        <f>IF('data input for RPA'!E37="","",'data input for RPA'!E37)</f>
        <v>0.5</v>
      </c>
      <c r="G35" s="220">
        <f>IF(D35="","",IF(E35="Y","",'data input for RPA'!F37))</f>
      </c>
      <c r="H35" s="236" t="str">
        <f t="shared" si="0"/>
        <v>MDL&lt;=C, MDL=MEC</v>
      </c>
      <c r="I35" s="264">
        <f t="shared" si="3"/>
        <v>0.5</v>
      </c>
      <c r="J35" s="220" t="str">
        <f t="shared" si="6"/>
        <v>MEC&lt;C, go to Step 5</v>
      </c>
      <c r="K35" s="340"/>
      <c r="L35" s="220" t="str">
        <f>IF('data input for RPA'!I37="N","",'data input for RPA'!I37)</f>
        <v>Y</v>
      </c>
      <c r="M35" s="220">
        <f>IF(L35="","",IF('data input for RPA'!J37="Y","Y",""))</f>
      </c>
      <c r="N35" s="295">
        <f>IF(M35="Y",'data input for RPA'!K37,"")</f>
      </c>
      <c r="O35" s="402">
        <f>IF(M35="Y","",IF(L35="Y",'data input for RPA'!L37,""))</f>
        <v>0.04</v>
      </c>
      <c r="P35" s="344">
        <f t="shared" si="4"/>
      </c>
      <c r="Q35" s="220" t="str">
        <f t="shared" si="5"/>
        <v>B&lt;C, Step 7</v>
      </c>
      <c r="R35" s="350">
        <f>'data input for RPA'!O37</f>
      </c>
      <c r="S35" s="220">
        <f t="shared" si="1"/>
      </c>
      <c r="T35" s="263">
        <f t="shared" si="7"/>
      </c>
      <c r="U35" s="398">
        <f>IF(WQBELs!AO42="","",WQBELs!AO42)</f>
      </c>
      <c r="V35" s="399">
        <f>IF(WQBELs!AP42="","",WQBELs!AP42)</f>
      </c>
    </row>
    <row r="36" spans="1:22" ht="12.75">
      <c r="A36" s="223">
        <v>30</v>
      </c>
      <c r="B36" s="224" t="s">
        <v>2</v>
      </c>
      <c r="C36" s="262">
        <f>Criteria!C42</f>
        <v>3.2</v>
      </c>
      <c r="D36" s="220" t="str">
        <f>IF('data input for RPA'!C38="","",'data input for RPA'!C38)</f>
        <v>Y</v>
      </c>
      <c r="E36" s="220" t="str">
        <f>IF('data input for RPA'!D38="","",'data input for RPA'!D38)</f>
        <v>Y</v>
      </c>
      <c r="F36" s="220">
        <f>IF('data input for RPA'!E38="","",'data input for RPA'!E38)</f>
        <v>0.5</v>
      </c>
      <c r="G36" s="220">
        <f>IF(D36="","",IF(E36="Y","",'data input for RPA'!F38))</f>
      </c>
      <c r="H36" s="236" t="str">
        <f t="shared" si="0"/>
        <v>MDL&lt;=C, MDL=MEC</v>
      </c>
      <c r="I36" s="264">
        <f t="shared" si="3"/>
        <v>0.5</v>
      </c>
      <c r="J36" s="220" t="str">
        <f t="shared" si="6"/>
        <v>MEC&lt;C, go to Step 5</v>
      </c>
      <c r="K36" s="340"/>
      <c r="L36" s="220" t="str">
        <f>IF('data input for RPA'!I38="N","",'data input for RPA'!I38)</f>
        <v>Y</v>
      </c>
      <c r="M36" s="220" t="str">
        <f>IF(L36="","",IF('data input for RPA'!J38="Y","Y",""))</f>
        <v>Y</v>
      </c>
      <c r="N36" s="295">
        <f>IF(M36="Y",'data input for RPA'!K38,"")</f>
        <v>0.5</v>
      </c>
      <c r="O36" s="402">
        <f>IF(M36="Y","",IF(L36="Y",'data input for RPA'!L38,""))</f>
      </c>
      <c r="P36" s="344" t="b">
        <f t="shared" si="4"/>
        <v>0</v>
      </c>
      <c r="Q36" s="220" t="str">
        <f t="shared" si="5"/>
        <v>No detected value of B, Step 7</v>
      </c>
      <c r="R36" s="350">
        <f>'data input for RPA'!O38</f>
      </c>
      <c r="S36" s="220">
        <f t="shared" si="1"/>
      </c>
      <c r="T36" s="263">
        <f t="shared" si="7"/>
      </c>
      <c r="U36" s="398">
        <f>IF(WQBELs!AO43="","",WQBELs!AO43)</f>
      </c>
      <c r="V36" s="399">
        <f>IF(WQBELs!AP43="","",WQBELs!AP43)</f>
      </c>
    </row>
    <row r="37" spans="1:22" ht="12.75">
      <c r="A37" s="223">
        <v>31</v>
      </c>
      <c r="B37" s="224" t="s">
        <v>3</v>
      </c>
      <c r="C37" s="262">
        <f>Criteria!C43</f>
        <v>39</v>
      </c>
      <c r="D37" s="220" t="str">
        <f>IF('data input for RPA'!C39="","",'data input for RPA'!C39)</f>
        <v>Y</v>
      </c>
      <c r="E37" s="220" t="str">
        <f>IF('data input for RPA'!D39="","",'data input for RPA'!D39)</f>
        <v>Y</v>
      </c>
      <c r="F37" s="220">
        <f>IF('data input for RPA'!E39="","",'data input for RPA'!E39)</f>
        <v>0.5</v>
      </c>
      <c r="G37" s="220">
        <f>IF(D37="","",IF(E37="Y","",'data input for RPA'!F39))</f>
      </c>
      <c r="H37" s="236" t="str">
        <f t="shared" si="0"/>
        <v>MDL&lt;=C, MDL=MEC</v>
      </c>
      <c r="I37" s="264">
        <f t="shared" si="3"/>
        <v>0.5</v>
      </c>
      <c r="J37" s="220" t="str">
        <f t="shared" si="6"/>
        <v>MEC&lt;C, go to Step 5</v>
      </c>
      <c r="K37" s="340"/>
      <c r="L37" s="220" t="str">
        <f>IF('data input for RPA'!I39="N","",'data input for RPA'!I39)</f>
        <v>Y</v>
      </c>
      <c r="M37" s="220" t="str">
        <f>IF(L37="","",IF('data input for RPA'!J39="Y","Y",""))</f>
        <v>Y</v>
      </c>
      <c r="N37" s="295">
        <f>IF(M37="Y",'data input for RPA'!K39,"")</f>
        <v>0.05</v>
      </c>
      <c r="O37" s="402">
        <f>IF(M37="Y","",IF(L37="Y",'data input for RPA'!L39,""))</f>
      </c>
      <c r="P37" s="344" t="b">
        <f t="shared" si="4"/>
        <v>0</v>
      </c>
      <c r="Q37" s="220" t="str">
        <f t="shared" si="5"/>
        <v>No detected value of B, Step 7</v>
      </c>
      <c r="R37" s="350">
        <f>'data input for RPA'!O39</f>
      </c>
      <c r="S37" s="220">
        <f t="shared" si="1"/>
      </c>
      <c r="T37" s="263">
        <f t="shared" si="7"/>
      </c>
      <c r="U37" s="398">
        <f>IF(WQBELs!AO44="","",WQBELs!AO44)</f>
      </c>
      <c r="V37" s="399">
        <f>IF(WQBELs!AP44="","",WQBELs!AP44)</f>
      </c>
    </row>
    <row r="38" spans="1:22" ht="12.75">
      <c r="A38" s="223">
        <v>32</v>
      </c>
      <c r="B38" s="224" t="s">
        <v>4</v>
      </c>
      <c r="C38" s="262">
        <f>Criteria!C44</f>
        <v>1700</v>
      </c>
      <c r="D38" s="220" t="str">
        <f>IF('data input for RPA'!C40="","",'data input for RPA'!C40)</f>
        <v>Y</v>
      </c>
      <c r="E38" s="220" t="str">
        <f>IF('data input for RPA'!D40="","",'data input for RPA'!D40)</f>
        <v>Y</v>
      </c>
      <c r="F38" s="220">
        <f>IF('data input for RPA'!E40="","",'data input for RPA'!E40)</f>
        <v>0.5</v>
      </c>
      <c r="G38" s="220">
        <f>IF(D38="","",IF(E38="Y","",'data input for RPA'!F40))</f>
      </c>
      <c r="H38" s="236" t="str">
        <f t="shared" si="0"/>
        <v>MDL&lt;=C, MDL=MEC</v>
      </c>
      <c r="I38" s="264">
        <f t="shared" si="3"/>
        <v>0.5</v>
      </c>
      <c r="J38" s="220" t="str">
        <f t="shared" si="6"/>
        <v>MEC&lt;C, go to Step 5</v>
      </c>
      <c r="K38" s="340"/>
      <c r="L38" s="220">
        <f>IF('data input for RPA'!I40="N","",'data input for RPA'!I40)</f>
      </c>
      <c r="M38" s="220">
        <f>IF(L38="","",IF('data input for RPA'!J40="Y","Y",""))</f>
      </c>
      <c r="N38" s="295">
        <f>IF(M38="Y",'data input for RPA'!K40,"")</f>
      </c>
      <c r="O38" s="402">
        <f>IF(M38="Y","",IF(L38="Y",'data input for RPA'!L40,""))</f>
      </c>
      <c r="P38" s="344">
        <f t="shared" si="4"/>
      </c>
      <c r="Q38" s="220" t="str">
        <f t="shared" si="5"/>
        <v>No detected value of B, Step 7</v>
      </c>
      <c r="R38" s="350">
        <f>'data input for RPA'!O40</f>
      </c>
      <c r="S38" s="220">
        <f t="shared" si="1"/>
      </c>
      <c r="T38" s="263">
        <f t="shared" si="7"/>
      </c>
      <c r="U38" s="398">
        <f>IF(WQBELs!AO45="","",WQBELs!AO45)</f>
      </c>
      <c r="V38" s="399">
        <f>IF(WQBELs!AP45="","",WQBELs!AP45)</f>
      </c>
    </row>
    <row r="39" spans="1:22" ht="12.75">
      <c r="A39" s="223">
        <v>33</v>
      </c>
      <c r="B39" s="224" t="s">
        <v>5</v>
      </c>
      <c r="C39" s="262">
        <f>Criteria!C45</f>
        <v>29000</v>
      </c>
      <c r="D39" s="220" t="str">
        <f>IF('data input for RPA'!C41="","",'data input for RPA'!C41)</f>
        <v>Y</v>
      </c>
      <c r="E39" s="220" t="str">
        <f>IF('data input for RPA'!D41="","",'data input for RPA'!D41)</f>
        <v>Y</v>
      </c>
      <c r="F39" s="220">
        <f>IF('data input for RPA'!E41="","",'data input for RPA'!E41)</f>
        <v>0.5</v>
      </c>
      <c r="G39" s="220">
        <f>IF(D39="","",IF(E39="Y","",'data input for RPA'!F41))</f>
      </c>
      <c r="H39" s="236" t="str">
        <f t="shared" si="0"/>
        <v>MDL&lt;=C, MDL=MEC</v>
      </c>
      <c r="I39" s="264">
        <f t="shared" si="3"/>
        <v>0.5</v>
      </c>
      <c r="J39" s="220" t="str">
        <f t="shared" si="6"/>
        <v>MEC&lt;C, go to Step 5</v>
      </c>
      <c r="K39" s="340"/>
      <c r="L39" s="220" t="str">
        <f>IF('data input for RPA'!I41="N","",'data input for RPA'!I41)</f>
        <v>Y</v>
      </c>
      <c r="M39" s="220" t="str">
        <f>IF(L39="","",IF('data input for RPA'!J41="Y","Y",""))</f>
        <v>Y</v>
      </c>
      <c r="N39" s="295">
        <f>IF(M39="Y",'data input for RPA'!K41,"")</f>
        <v>0.5</v>
      </c>
      <c r="O39" s="402">
        <f>IF(M39="Y","",IF(L39="Y",'data input for RPA'!L41,""))</f>
      </c>
      <c r="P39" s="344" t="b">
        <f t="shared" si="4"/>
        <v>0</v>
      </c>
      <c r="Q39" s="220" t="str">
        <f t="shared" si="5"/>
        <v>No detected value of B, Step 7</v>
      </c>
      <c r="R39" s="350">
        <f>'data input for RPA'!O41</f>
      </c>
      <c r="S39" s="220">
        <f t="shared" si="1"/>
      </c>
      <c r="T39" s="263">
        <f t="shared" si="7"/>
      </c>
      <c r="U39" s="398">
        <f>IF(WQBELs!AO46="","",WQBELs!AO46)</f>
      </c>
      <c r="V39" s="399">
        <f>IF(WQBELs!AP46="","",WQBELs!AP46)</f>
      </c>
    </row>
    <row r="40" spans="1:22" ht="12.75">
      <c r="A40" s="223">
        <v>34</v>
      </c>
      <c r="B40" s="224" t="s">
        <v>6</v>
      </c>
      <c r="C40" s="262">
        <f>Criteria!C46</f>
        <v>4000</v>
      </c>
      <c r="D40" s="220" t="str">
        <f>IF('data input for RPA'!C42="","",'data input for RPA'!C42)</f>
        <v>Y</v>
      </c>
      <c r="E40" s="220" t="str">
        <f>IF('data input for RPA'!D42="","",'data input for RPA'!D42)</f>
        <v>Y</v>
      </c>
      <c r="F40" s="220">
        <f>IF('data input for RPA'!E42="","",'data input for RPA'!E42)</f>
        <v>0.5</v>
      </c>
      <c r="G40" s="220">
        <f>IF(D40="","",IF(E40="Y","",'data input for RPA'!F42))</f>
      </c>
      <c r="H40" s="236" t="str">
        <f t="shared" si="0"/>
        <v>MDL&lt;=C, MDL=MEC</v>
      </c>
      <c r="I40" s="264">
        <f t="shared" si="3"/>
        <v>0.5</v>
      </c>
      <c r="J40" s="220" t="str">
        <f t="shared" si="6"/>
        <v>MEC&lt;C, go to Step 5</v>
      </c>
      <c r="K40" s="340"/>
      <c r="L40" s="220" t="str">
        <f>IF('data input for RPA'!I42="N","",'data input for RPA'!I42)</f>
        <v>Y</v>
      </c>
      <c r="M40" s="220" t="str">
        <f>IF(L40="","",IF('data input for RPA'!J42="Y","Y",""))</f>
        <v>Y</v>
      </c>
      <c r="N40" s="295">
        <f>IF(M40="Y",'data input for RPA'!K42,"")</f>
        <v>0.5</v>
      </c>
      <c r="O40" s="402">
        <f>IF(M40="Y","",IF(L40="Y",'data input for RPA'!L42,""))</f>
      </c>
      <c r="P40" s="344" t="b">
        <f t="shared" si="4"/>
        <v>0</v>
      </c>
      <c r="Q40" s="220" t="str">
        <f t="shared" si="5"/>
        <v>No detected value of B, Step 7</v>
      </c>
      <c r="R40" s="350">
        <f>'data input for RPA'!O42</f>
      </c>
      <c r="S40" s="220">
        <f t="shared" si="1"/>
      </c>
      <c r="T40" s="263">
        <f t="shared" si="7"/>
      </c>
      <c r="U40" s="398">
        <f>IF(WQBELs!AO47="","",WQBELs!AO47)</f>
      </c>
      <c r="V40" s="399">
        <f>IF(WQBELs!AP47="","",WQBELs!AP47)</f>
      </c>
    </row>
    <row r="41" spans="1:22" ht="12.75">
      <c r="A41" s="223">
        <v>35</v>
      </c>
      <c r="B41" s="224" t="s">
        <v>7</v>
      </c>
      <c r="C41" s="262" t="str">
        <f>Criteria!C47</f>
        <v>No Criteria</v>
      </c>
      <c r="D41" s="220" t="str">
        <f>IF('data input for RPA'!C43="","",'data input for RPA'!C43)</f>
        <v>Y</v>
      </c>
      <c r="E41" s="220" t="str">
        <f>IF('data input for RPA'!D43="","",'data input for RPA'!D43)</f>
        <v>Y</v>
      </c>
      <c r="F41" s="220">
        <f>IF('data input for RPA'!E43="","",'data input for RPA'!E43)</f>
        <v>0.5</v>
      </c>
      <c r="G41" s="220">
        <f>IF(D41="","",IF(E41="Y","",'data input for RPA'!F43))</f>
      </c>
      <c r="H41" s="236" t="str">
        <f t="shared" si="0"/>
        <v>No Criteria</v>
      </c>
      <c r="I41" s="264">
        <f t="shared" si="3"/>
        <v>0.5</v>
      </c>
      <c r="J41" s="220" t="str">
        <f t="shared" si="6"/>
        <v>No Criteria</v>
      </c>
      <c r="K41" s="340"/>
      <c r="L41" s="220" t="str">
        <f>IF('data input for RPA'!I43="N","",'data input for RPA'!I43)</f>
        <v>Y</v>
      </c>
      <c r="M41" s="220" t="str">
        <f>IF(L41="","",IF('data input for RPA'!J43="Y","Y",""))</f>
        <v>Y</v>
      </c>
      <c r="N41" s="295">
        <f>IF(M41="Y",'data input for RPA'!K43,"")</f>
        <v>0.5</v>
      </c>
      <c r="O41" s="402">
        <f>IF(M41="Y","",IF(L41="Y",'data input for RPA'!L43,""))</f>
      </c>
      <c r="P41" s="344" t="b">
        <f t="shared" si="4"/>
        <v>0</v>
      </c>
      <c r="Q41" s="220" t="str">
        <f t="shared" si="5"/>
        <v>No Criteria</v>
      </c>
      <c r="R41" s="350" t="str">
        <f>'data input for RPA'!O43</f>
        <v>No Criteria</v>
      </c>
      <c r="S41" s="220">
        <f t="shared" si="1"/>
      </c>
      <c r="T41" s="263" t="str">
        <f t="shared" si="7"/>
        <v>Uo - No Criteria</v>
      </c>
      <c r="U41" s="398">
        <f>IF(WQBELs!AO48="","",WQBELs!AO48)</f>
      </c>
      <c r="V41" s="399">
        <f>IF(WQBELs!AP48="","",WQBELs!AP48)</f>
      </c>
    </row>
    <row r="42" spans="1:22" ht="12.75">
      <c r="A42" s="223">
        <v>36</v>
      </c>
      <c r="B42" s="224" t="s">
        <v>8</v>
      </c>
      <c r="C42" s="262">
        <f>Criteria!C48</f>
        <v>1600</v>
      </c>
      <c r="D42" s="220" t="str">
        <f>IF('data input for RPA'!C44="","",'data input for RPA'!C44)</f>
        <v>Y</v>
      </c>
      <c r="E42" s="220" t="str">
        <f>IF('data input for RPA'!D44="","",'data input for RPA'!D44)</f>
        <v>N</v>
      </c>
      <c r="F42" s="220">
        <f>IF('data input for RPA'!E44="","",'data input for RPA'!E44)</f>
      </c>
      <c r="G42" s="220">
        <f>IF(D42="","",IF(E42="Y","",'data input for RPA'!F44))</f>
        <v>2</v>
      </c>
      <c r="H42" s="236">
        <f t="shared" si="0"/>
      </c>
      <c r="I42" s="264">
        <f t="shared" si="3"/>
        <v>2</v>
      </c>
      <c r="J42" s="220" t="str">
        <f t="shared" si="6"/>
        <v>MEC&lt;C, go to Step 5</v>
      </c>
      <c r="K42" s="340"/>
      <c r="L42" s="220" t="str">
        <f>IF('data input for RPA'!I44="N","",'data input for RPA'!I44)</f>
        <v>Y</v>
      </c>
      <c r="M42" s="220">
        <f>IF(L42="","",IF('data input for RPA'!J44="Y","Y",""))</f>
      </c>
      <c r="N42" s="295">
        <f>IF(M42="Y",'data input for RPA'!K44,"")</f>
      </c>
      <c r="O42" s="402">
        <f>IF(M42="Y","",IF(L42="Y",'data input for RPA'!L44,""))</f>
        <v>0.5</v>
      </c>
      <c r="P42" s="344">
        <f t="shared" si="4"/>
      </c>
      <c r="Q42" s="220" t="str">
        <f t="shared" si="5"/>
        <v>B&lt;C, Step 7</v>
      </c>
      <c r="R42" s="350">
        <f>'data input for RPA'!O44</f>
      </c>
      <c r="S42" s="220">
        <f t="shared" si="1"/>
      </c>
      <c r="T42" s="263">
        <f t="shared" si="7"/>
      </c>
      <c r="U42" s="398">
        <f>IF(WQBELs!AO49="","",WQBELs!AO49)</f>
      </c>
      <c r="V42" s="399">
        <f>IF(WQBELs!AP49="","",WQBELs!AP49)</f>
      </c>
    </row>
    <row r="43" spans="1:22" ht="12.75">
      <c r="A43" s="223">
        <v>37</v>
      </c>
      <c r="B43" s="224" t="s">
        <v>9</v>
      </c>
      <c r="C43" s="262">
        <f>Criteria!C49</f>
        <v>11</v>
      </c>
      <c r="D43" s="220" t="str">
        <f>IF('data input for RPA'!C45="","",'data input for RPA'!C45)</f>
        <v>Y</v>
      </c>
      <c r="E43" s="220" t="str">
        <f>IF('data input for RPA'!D45="","",'data input for RPA'!D45)</f>
        <v>Y</v>
      </c>
      <c r="F43" s="220">
        <f>IF('data input for RPA'!E45="","",'data input for RPA'!E45)</f>
        <v>0.5</v>
      </c>
      <c r="G43" s="220">
        <f>IF(D43="","",IF(E43="Y","",'data input for RPA'!F45))</f>
      </c>
      <c r="H43" s="236" t="str">
        <f t="shared" si="0"/>
        <v>MDL&lt;=C, MDL=MEC</v>
      </c>
      <c r="I43" s="264">
        <f t="shared" si="3"/>
        <v>0.5</v>
      </c>
      <c r="J43" s="220" t="str">
        <f t="shared" si="6"/>
        <v>MEC&lt;C, go to Step 5</v>
      </c>
      <c r="K43" s="340"/>
      <c r="L43" s="220" t="str">
        <f>IF('data input for RPA'!I45="N","",'data input for RPA'!I45)</f>
        <v>Y</v>
      </c>
      <c r="M43" s="220" t="str">
        <f>IF(L43="","",IF('data input for RPA'!J45="Y","Y",""))</f>
        <v>Y</v>
      </c>
      <c r="N43" s="295">
        <f>IF(M43="Y",'data input for RPA'!K45,"")</f>
        <v>0.05</v>
      </c>
      <c r="O43" s="402">
        <f>IF(M43="Y","",IF(L43="Y",'data input for RPA'!L45,""))</f>
      </c>
      <c r="P43" s="344" t="b">
        <f t="shared" si="4"/>
        <v>0</v>
      </c>
      <c r="Q43" s="220" t="str">
        <f t="shared" si="5"/>
        <v>No detected value of B, Step 7</v>
      </c>
      <c r="R43" s="350">
        <f>'data input for RPA'!O45</f>
      </c>
      <c r="S43" s="220">
        <f t="shared" si="1"/>
      </c>
      <c r="T43" s="263">
        <f t="shared" si="7"/>
      </c>
      <c r="U43" s="398">
        <f>IF(WQBELs!AO50="","",WQBELs!AO50)</f>
      </c>
      <c r="V43" s="399">
        <f>IF(WQBELs!AP50="","",WQBELs!AP50)</f>
      </c>
    </row>
    <row r="44" spans="1:22" ht="12.75">
      <c r="A44" s="223">
        <v>38</v>
      </c>
      <c r="B44" s="224" t="s">
        <v>10</v>
      </c>
      <c r="C44" s="262">
        <f>Criteria!C50</f>
        <v>8.85</v>
      </c>
      <c r="D44" s="220" t="str">
        <f>IF('data input for RPA'!C46="","",'data input for RPA'!C46)</f>
        <v>Y</v>
      </c>
      <c r="E44" s="220" t="str">
        <f>IF('data input for RPA'!D46="","",'data input for RPA'!D46)</f>
        <v>N</v>
      </c>
      <c r="F44" s="220">
        <f>IF('data input for RPA'!E46="","",'data input for RPA'!E46)</f>
      </c>
      <c r="G44" s="220">
        <f>IF(D44="","",IF(E44="Y","",'data input for RPA'!F46))</f>
        <v>0.5</v>
      </c>
      <c r="H44" s="236">
        <f t="shared" si="0"/>
      </c>
      <c r="I44" s="264">
        <f t="shared" si="3"/>
        <v>0.5</v>
      </c>
      <c r="J44" s="220" t="str">
        <f t="shared" si="6"/>
        <v>MEC&lt;C, go to Step 5</v>
      </c>
      <c r="K44" s="340"/>
      <c r="L44" s="220" t="str">
        <f>IF('data input for RPA'!I46="N","",'data input for RPA'!I46)</f>
        <v>Y</v>
      </c>
      <c r="M44" s="220" t="str">
        <f>IF(L44="","",IF('data input for RPA'!J46="Y","Y",""))</f>
        <v>Y</v>
      </c>
      <c r="N44" s="295">
        <f>IF(M44="Y",'data input for RPA'!K46,"")</f>
        <v>0.05</v>
      </c>
      <c r="O44" s="402">
        <f>IF(M44="Y","",IF(L44="Y",'data input for RPA'!L46,""))</f>
      </c>
      <c r="P44" s="344" t="b">
        <f t="shared" si="4"/>
        <v>0</v>
      </c>
      <c r="Q44" s="220" t="str">
        <f t="shared" si="5"/>
        <v>No detected value of B, Step 7</v>
      </c>
      <c r="R44" s="350">
        <f>'data input for RPA'!O46</f>
      </c>
      <c r="S44" s="220">
        <f t="shared" si="1"/>
      </c>
      <c r="T44" s="263">
        <f t="shared" si="7"/>
      </c>
      <c r="U44" s="398">
        <f>IF(WQBELs!AO51="","",WQBELs!AO51)</f>
      </c>
      <c r="V44" s="399">
        <f>IF(WQBELs!AP51="","",WQBELs!AP51)</f>
      </c>
    </row>
    <row r="45" spans="1:22" ht="12.75">
      <c r="A45" s="223">
        <v>39</v>
      </c>
      <c r="B45" s="224" t="s">
        <v>11</v>
      </c>
      <c r="C45" s="262">
        <f>Criteria!C51</f>
        <v>200000</v>
      </c>
      <c r="D45" s="220" t="str">
        <f>IF('data input for RPA'!C47="","",'data input for RPA'!C47)</f>
        <v>Y</v>
      </c>
      <c r="E45" s="220" t="str">
        <f>IF('data input for RPA'!D47="","",'data input for RPA'!D47)</f>
        <v>Y</v>
      </c>
      <c r="F45" s="220">
        <f>IF('data input for RPA'!E47="","",'data input for RPA'!E47)</f>
        <v>0.5</v>
      </c>
      <c r="G45" s="220">
        <f>IF(D45="","",IF(E45="Y","",'data input for RPA'!F47))</f>
      </c>
      <c r="H45" s="236" t="str">
        <f t="shared" si="0"/>
        <v>MDL&lt;=C, MDL=MEC</v>
      </c>
      <c r="I45" s="264">
        <f t="shared" si="3"/>
        <v>0.5</v>
      </c>
      <c r="J45" s="220" t="str">
        <f t="shared" si="6"/>
        <v>MEC&lt;C, go to Step 5</v>
      </c>
      <c r="K45" s="340"/>
      <c r="L45" s="220" t="str">
        <f>IF('data input for RPA'!I47="N","",'data input for RPA'!I47)</f>
        <v>Y</v>
      </c>
      <c r="M45" s="220" t="str">
        <f>IF(L45="","",IF('data input for RPA'!J47="Y","Y",""))</f>
        <v>Y</v>
      </c>
      <c r="N45" s="295">
        <f>IF(M45="Y",'data input for RPA'!K47,"")</f>
        <v>0.3</v>
      </c>
      <c r="O45" s="402">
        <f>IF(M45="Y","",IF(L45="Y",'data input for RPA'!L47,""))</f>
      </c>
      <c r="P45" s="344" t="b">
        <f t="shared" si="4"/>
        <v>0</v>
      </c>
      <c r="Q45" s="220" t="str">
        <f t="shared" si="5"/>
        <v>No detected value of B, Step 7</v>
      </c>
      <c r="R45" s="350">
        <f>'data input for RPA'!O47</f>
      </c>
      <c r="S45" s="220">
        <f t="shared" si="1"/>
      </c>
      <c r="T45" s="263">
        <f t="shared" si="7"/>
      </c>
      <c r="U45" s="398">
        <f>IF(WQBELs!AO52="","",WQBELs!AO52)</f>
      </c>
      <c r="V45" s="399">
        <f>IF(WQBELs!AP52="","",WQBELs!AP52)</f>
      </c>
    </row>
    <row r="46" spans="1:22" ht="12.75">
      <c r="A46" s="223">
        <v>40</v>
      </c>
      <c r="B46" s="224" t="s">
        <v>12</v>
      </c>
      <c r="C46" s="262">
        <f>Criteria!C52</f>
        <v>140000</v>
      </c>
      <c r="D46" s="220" t="str">
        <f>IF('data input for RPA'!C48="","",'data input for RPA'!C48)</f>
        <v>Y</v>
      </c>
      <c r="E46" s="220" t="str">
        <f>IF('data input for RPA'!D48="","",'data input for RPA'!D48)</f>
        <v>Y</v>
      </c>
      <c r="F46" s="220">
        <f>IF('data input for RPA'!E48="","",'data input for RPA'!E48)</f>
        <v>0.5</v>
      </c>
      <c r="G46" s="220">
        <f>IF(D46="","",IF(E46="Y","",'data input for RPA'!F48))</f>
      </c>
      <c r="H46" s="236" t="str">
        <f t="shared" si="0"/>
        <v>MDL&lt;=C, MDL=MEC</v>
      </c>
      <c r="I46" s="264">
        <f t="shared" si="3"/>
        <v>0.5</v>
      </c>
      <c r="J46" s="220" t="str">
        <f t="shared" si="6"/>
        <v>MEC&lt;C, go to Step 5</v>
      </c>
      <c r="K46" s="340"/>
      <c r="L46" s="220" t="str">
        <f>IF('data input for RPA'!I48="N","",'data input for RPA'!I48)</f>
        <v>Y</v>
      </c>
      <c r="M46" s="220" t="str">
        <f>IF(L46="","",IF('data input for RPA'!J48="Y","Y",""))</f>
        <v>Y</v>
      </c>
      <c r="N46" s="295">
        <f>IF(M46="Y",'data input for RPA'!K48,"")</f>
        <v>0.5</v>
      </c>
      <c r="O46" s="402">
        <f>IF(M46="Y","",IF(L46="Y",'data input for RPA'!L48,""))</f>
      </c>
      <c r="P46" s="344" t="b">
        <f t="shared" si="4"/>
        <v>0</v>
      </c>
      <c r="Q46" s="220" t="str">
        <f t="shared" si="5"/>
        <v>No detected value of B, Step 7</v>
      </c>
      <c r="R46" s="350">
        <f>'data input for RPA'!O48</f>
      </c>
      <c r="S46" s="220">
        <f t="shared" si="1"/>
      </c>
      <c r="T46" s="263">
        <f t="shared" si="7"/>
      </c>
      <c r="U46" s="398">
        <f>IF(WQBELs!AO53="","",WQBELs!AO53)</f>
      </c>
      <c r="V46" s="399">
        <f>IF(WQBELs!AP53="","",WQBELs!AP53)</f>
      </c>
    </row>
    <row r="47" spans="1:22" ht="12.75">
      <c r="A47" s="223">
        <v>41</v>
      </c>
      <c r="B47" s="224" t="s">
        <v>13</v>
      </c>
      <c r="C47" s="262" t="str">
        <f>Criteria!C53</f>
        <v>No Criteria</v>
      </c>
      <c r="D47" s="220" t="str">
        <f>IF('data input for RPA'!C49="","",'data input for RPA'!C49)</f>
        <v>Y</v>
      </c>
      <c r="E47" s="220" t="str">
        <f>IF('data input for RPA'!D49="","",'data input for RPA'!D49)</f>
        <v>Y</v>
      </c>
      <c r="F47" s="220">
        <f>IF('data input for RPA'!E49="","",'data input for RPA'!E49)</f>
        <v>0.5</v>
      </c>
      <c r="G47" s="220">
        <f>IF(D47="","",IF(E47="Y","",'data input for RPA'!F49))</f>
      </c>
      <c r="H47" s="236" t="str">
        <f t="shared" si="0"/>
        <v>No Criteria</v>
      </c>
      <c r="I47" s="264">
        <f t="shared" si="3"/>
        <v>0.5</v>
      </c>
      <c r="J47" s="220" t="str">
        <f t="shared" si="6"/>
        <v>No Criteria</v>
      </c>
      <c r="K47" s="340"/>
      <c r="L47" s="220" t="str">
        <f>IF('data input for RPA'!I49="N","",'data input for RPA'!I49)</f>
        <v>Y</v>
      </c>
      <c r="M47" s="220" t="str">
        <f>IF(L47="","",IF('data input for RPA'!J49="Y","Y",""))</f>
        <v>Y</v>
      </c>
      <c r="N47" s="295">
        <f>IF(M47="Y",'data input for RPA'!K49,"")</f>
        <v>0.5</v>
      </c>
      <c r="O47" s="402">
        <f>IF(M47="Y","",IF(L47="Y",'data input for RPA'!L49,""))</f>
      </c>
      <c r="P47" s="344" t="b">
        <f t="shared" si="4"/>
        <v>0</v>
      </c>
      <c r="Q47" s="220" t="str">
        <f t="shared" si="5"/>
        <v>No Criteria</v>
      </c>
      <c r="R47" s="350" t="str">
        <f>'data input for RPA'!O49</f>
        <v>No Criteria</v>
      </c>
      <c r="S47" s="220">
        <f t="shared" si="1"/>
      </c>
      <c r="T47" s="263" t="str">
        <f t="shared" si="7"/>
        <v>Uo - No Criteria</v>
      </c>
      <c r="U47" s="398">
        <f>IF(WQBELs!AO54="","",WQBELs!AO54)</f>
      </c>
      <c r="V47" s="399">
        <f>IF(WQBELs!AP54="","",WQBELs!AP54)</f>
      </c>
    </row>
    <row r="48" spans="1:22" ht="12.75">
      <c r="A48" s="223">
        <v>42</v>
      </c>
      <c r="B48" s="224" t="s">
        <v>14</v>
      </c>
      <c r="C48" s="262">
        <f>Criteria!C54</f>
        <v>42</v>
      </c>
      <c r="D48" s="220" t="str">
        <f>IF('data input for RPA'!C50="","",'data input for RPA'!C50)</f>
        <v>Y</v>
      </c>
      <c r="E48" s="220" t="str">
        <f>IF('data input for RPA'!D50="","",'data input for RPA'!D50)</f>
        <v>Y</v>
      </c>
      <c r="F48" s="220">
        <f>IF('data input for RPA'!E50="","",'data input for RPA'!E50)</f>
        <v>0.5</v>
      </c>
      <c r="G48" s="220">
        <f>IF(D48="","",IF(E48="Y","",'data input for RPA'!F50))</f>
      </c>
      <c r="H48" s="236" t="str">
        <f t="shared" si="0"/>
        <v>MDL&lt;=C, MDL=MEC</v>
      </c>
      <c r="I48" s="264">
        <f t="shared" si="3"/>
        <v>0.5</v>
      </c>
      <c r="J48" s="220" t="str">
        <f t="shared" si="6"/>
        <v>MEC&lt;C, go to Step 5</v>
      </c>
      <c r="K48" s="340"/>
      <c r="L48" s="220" t="str">
        <f>IF('data input for RPA'!I50="N","",'data input for RPA'!I50)</f>
        <v>Y</v>
      </c>
      <c r="M48" s="220" t="str">
        <f>IF(L48="","",IF('data input for RPA'!J50="Y","Y",""))</f>
        <v>Y</v>
      </c>
      <c r="N48" s="295">
        <f>IF(M48="Y",'data input for RPA'!K50,"")</f>
        <v>0.05</v>
      </c>
      <c r="O48" s="402">
        <f>IF(M48="Y","",IF(L48="Y",'data input for RPA'!L50,""))</f>
      </c>
      <c r="P48" s="344" t="b">
        <f t="shared" si="4"/>
        <v>0</v>
      </c>
      <c r="Q48" s="220" t="str">
        <f t="shared" si="5"/>
        <v>No detected value of B, Step 7</v>
      </c>
      <c r="R48" s="350">
        <f>'data input for RPA'!O50</f>
      </c>
      <c r="S48" s="220">
        <f t="shared" si="1"/>
      </c>
      <c r="T48" s="263">
        <f t="shared" si="7"/>
      </c>
      <c r="U48" s="398">
        <f>IF(WQBELs!AO55="","",WQBELs!AO55)</f>
      </c>
      <c r="V48" s="399">
        <f>IF(WQBELs!AP55="","",WQBELs!AP55)</f>
      </c>
    </row>
    <row r="49" spans="1:22" ht="12.75">
      <c r="A49" s="223">
        <v>43</v>
      </c>
      <c r="B49" s="224" t="s">
        <v>15</v>
      </c>
      <c r="C49" s="262">
        <f>Criteria!C55</f>
        <v>81</v>
      </c>
      <c r="D49" s="220" t="str">
        <f>IF('data input for RPA'!C51="","",'data input for RPA'!C51)</f>
        <v>Y</v>
      </c>
      <c r="E49" s="220" t="str">
        <f>IF('data input for RPA'!D51="","",'data input for RPA'!D51)</f>
        <v>Y</v>
      </c>
      <c r="F49" s="220">
        <f>IF('data input for RPA'!E51="","",'data input for RPA'!E51)</f>
        <v>0.5</v>
      </c>
      <c r="G49" s="220">
        <f>IF(D49="","",IF(E49="Y","",'data input for RPA'!F51))</f>
      </c>
      <c r="H49" s="236" t="str">
        <f t="shared" si="0"/>
        <v>MDL&lt;=C, MDL=MEC</v>
      </c>
      <c r="I49" s="264">
        <f t="shared" si="3"/>
        <v>0.5</v>
      </c>
      <c r="J49" s="220" t="str">
        <f t="shared" si="6"/>
        <v>MEC&lt;C, go to Step 5</v>
      </c>
      <c r="K49" s="340"/>
      <c r="L49" s="220" t="str">
        <f>IF('data input for RPA'!I51="N","",'data input for RPA'!I51)</f>
        <v>Y</v>
      </c>
      <c r="M49" s="220" t="str">
        <f>IF(L49="","",IF('data input for RPA'!J51="Y","Y",""))</f>
        <v>Y</v>
      </c>
      <c r="N49" s="295">
        <f>IF(M49="Y",'data input for RPA'!K51,"")</f>
        <v>0.5</v>
      </c>
      <c r="O49" s="402">
        <f>IF(M49="Y","",IF(L49="Y",'data input for RPA'!L51,""))</f>
      </c>
      <c r="P49" s="344" t="b">
        <f t="shared" si="4"/>
        <v>0</v>
      </c>
      <c r="Q49" s="220" t="str">
        <f t="shared" si="5"/>
        <v>No detected value of B, Step 7</v>
      </c>
      <c r="R49" s="350">
        <f>'data input for RPA'!O51</f>
      </c>
      <c r="S49" s="220">
        <f t="shared" si="1"/>
      </c>
      <c r="T49" s="263">
        <f t="shared" si="7"/>
      </c>
      <c r="U49" s="398">
        <f>IF(WQBELs!AO56="","",WQBELs!AO56)</f>
      </c>
      <c r="V49" s="399">
        <f>IF(WQBELs!AP56="","",WQBELs!AP56)</f>
      </c>
    </row>
    <row r="50" spans="1:22" ht="12.75">
      <c r="A50" s="223">
        <v>44</v>
      </c>
      <c r="B50" s="224" t="s">
        <v>16</v>
      </c>
      <c r="C50" s="262">
        <f>Criteria!C56</f>
        <v>525</v>
      </c>
      <c r="D50" s="220" t="str">
        <f>IF('data input for RPA'!C52="","",'data input for RPA'!C52)</f>
        <v>Y</v>
      </c>
      <c r="E50" s="220" t="str">
        <f>IF('data input for RPA'!D52="","",'data input for RPA'!D52)</f>
        <v>Y</v>
      </c>
      <c r="F50" s="220">
        <f>IF('data input for RPA'!E52="","",'data input for RPA'!E52)</f>
        <v>0.5</v>
      </c>
      <c r="G50" s="220">
        <f>IF(D50="","",IF(E50="Y","",'data input for RPA'!F52))</f>
      </c>
      <c r="H50" s="236" t="str">
        <f t="shared" si="0"/>
        <v>MDL&lt;=C, MDL=MEC</v>
      </c>
      <c r="I50" s="264">
        <f t="shared" si="3"/>
        <v>0.5</v>
      </c>
      <c r="J50" s="220" t="str">
        <f t="shared" si="6"/>
        <v>MEC&lt;C, go to Step 5</v>
      </c>
      <c r="K50" s="340"/>
      <c r="L50" s="220" t="str">
        <f>IF('data input for RPA'!I52="N","",'data input for RPA'!I52)</f>
        <v>Y</v>
      </c>
      <c r="M50" s="220" t="str">
        <f>IF(L50="","",IF('data input for RPA'!J52="Y","Y",""))</f>
        <v>Y</v>
      </c>
      <c r="N50" s="295">
        <f>IF(M50="Y",'data input for RPA'!K52,"")</f>
        <v>0.5</v>
      </c>
      <c r="O50" s="402">
        <f>IF(M50="Y","",IF(L50="Y",'data input for RPA'!L52,""))</f>
      </c>
      <c r="P50" s="344" t="b">
        <f t="shared" si="4"/>
        <v>0</v>
      </c>
      <c r="Q50" s="220" t="str">
        <f t="shared" si="5"/>
        <v>No detected value of B, Step 7</v>
      </c>
      <c r="R50" s="350">
        <f>'data input for RPA'!O52</f>
      </c>
      <c r="S50" s="220">
        <f t="shared" si="1"/>
      </c>
      <c r="T50" s="263">
        <f t="shared" si="7"/>
      </c>
      <c r="U50" s="398">
        <f>IF(WQBELs!AO57="","",WQBELs!AO57)</f>
      </c>
      <c r="V50" s="399">
        <f>IF(WQBELs!AP57="","",WQBELs!AP57)</f>
      </c>
    </row>
    <row r="51" spans="1:22" ht="12.75">
      <c r="A51" s="223">
        <v>45</v>
      </c>
      <c r="B51" s="224" t="s">
        <v>221</v>
      </c>
      <c r="C51" s="262">
        <f>Criteria!C57</f>
        <v>400</v>
      </c>
      <c r="D51" s="220" t="str">
        <f>IF('data input for RPA'!C53="","",'data input for RPA'!C53)</f>
        <v>Y</v>
      </c>
      <c r="E51" s="220" t="str">
        <f>IF('data input for RPA'!D53="","",'data input for RPA'!D53)</f>
        <v>Y</v>
      </c>
      <c r="F51" s="220">
        <f>IF('data input for RPA'!E53="","",'data input for RPA'!E53)</f>
        <v>2</v>
      </c>
      <c r="G51" s="220">
        <f>IF(D51="","",IF(E51="Y","",'data input for RPA'!F53))</f>
      </c>
      <c r="H51" s="236" t="str">
        <f t="shared" si="0"/>
        <v>MDL&lt;=C, MDL=MEC</v>
      </c>
      <c r="I51" s="264">
        <f t="shared" si="3"/>
        <v>2</v>
      </c>
      <c r="J51" s="220" t="str">
        <f t="shared" si="6"/>
        <v>MEC&lt;C, go to Step 5</v>
      </c>
      <c r="K51" s="340"/>
      <c r="L51" s="220" t="str">
        <f>IF('data input for RPA'!I53="N","",'data input for RPA'!I53)</f>
        <v>Y</v>
      </c>
      <c r="M51" s="220" t="str">
        <f>IF(L51="","",IF('data input for RPA'!J53="Y","Y",""))</f>
        <v>Y</v>
      </c>
      <c r="N51" s="295">
        <f>IF(M51="Y",'data input for RPA'!K53,"")</f>
        <v>1.2</v>
      </c>
      <c r="O51" s="402">
        <f>IF(M51="Y","",IF(L51="Y",'data input for RPA'!L53,""))</f>
      </c>
      <c r="P51" s="344" t="b">
        <f t="shared" si="4"/>
        <v>0</v>
      </c>
      <c r="Q51" s="220" t="str">
        <f t="shared" si="5"/>
        <v>No detected value of B, Step 7</v>
      </c>
      <c r="R51" s="350">
        <f>'data input for RPA'!O53</f>
      </c>
      <c r="S51" s="220">
        <f t="shared" si="1"/>
      </c>
      <c r="T51" s="263">
        <f t="shared" si="7"/>
      </c>
      <c r="U51" s="398">
        <f>IF(WQBELs!AO58="","",WQBELs!AO58)</f>
      </c>
      <c r="V51" s="399">
        <f>IF(WQBELs!AP58="","",WQBELs!AP58)</f>
      </c>
    </row>
    <row r="52" spans="1:22" ht="12.75">
      <c r="A52" s="223">
        <v>46</v>
      </c>
      <c r="B52" s="224" t="s">
        <v>18</v>
      </c>
      <c r="C52" s="262">
        <f>Criteria!C58</f>
        <v>790</v>
      </c>
      <c r="D52" s="220" t="str">
        <f>IF('data input for RPA'!C54="","",'data input for RPA'!C54)</f>
        <v>Y</v>
      </c>
      <c r="E52" s="220" t="str">
        <f>IF('data input for RPA'!D54="","",'data input for RPA'!D54)</f>
        <v>Y</v>
      </c>
      <c r="F52" s="220">
        <f>IF('data input for RPA'!E54="","",'data input for RPA'!E54)</f>
        <v>1</v>
      </c>
      <c r="G52" s="220">
        <f>IF(D52="","",IF(E52="Y","",'data input for RPA'!F54))</f>
      </c>
      <c r="H52" s="236" t="str">
        <f t="shared" si="0"/>
        <v>MDL&lt;=C, MDL=MEC</v>
      </c>
      <c r="I52" s="264">
        <f t="shared" si="3"/>
        <v>1</v>
      </c>
      <c r="J52" s="220" t="str">
        <f t="shared" si="6"/>
        <v>MEC&lt;C, go to Step 5</v>
      </c>
      <c r="K52" s="340"/>
      <c r="L52" s="220" t="str">
        <f>IF('data input for RPA'!I54="N","",'data input for RPA'!I54)</f>
        <v>Y</v>
      </c>
      <c r="M52" s="220" t="str">
        <f>IF(L52="","",IF('data input for RPA'!J54="Y","Y",""))</f>
        <v>Y</v>
      </c>
      <c r="N52" s="295">
        <f>IF(M52="Y",'data input for RPA'!K54,"")</f>
        <v>1.3</v>
      </c>
      <c r="O52" s="402">
        <f>IF(M52="Y","",IF(L52="Y",'data input for RPA'!L54,""))</f>
      </c>
      <c r="P52" s="344" t="b">
        <f t="shared" si="4"/>
        <v>0</v>
      </c>
      <c r="Q52" s="220" t="str">
        <f t="shared" si="5"/>
        <v>No detected value of B, Step 7</v>
      </c>
      <c r="R52" s="350">
        <f>'data input for RPA'!O54</f>
      </c>
      <c r="S52" s="220">
        <f t="shared" si="1"/>
      </c>
      <c r="T52" s="263">
        <f t="shared" si="7"/>
      </c>
      <c r="U52" s="398">
        <f>IF(WQBELs!AO59="","",WQBELs!AO59)</f>
      </c>
      <c r="V52" s="399">
        <f>IF(WQBELs!AP59="","",WQBELs!AP59)</f>
      </c>
    </row>
    <row r="53" spans="1:22" ht="12.75">
      <c r="A53" s="223">
        <v>47</v>
      </c>
      <c r="B53" s="224" t="s">
        <v>19</v>
      </c>
      <c r="C53" s="262">
        <f>Criteria!C59</f>
        <v>2300</v>
      </c>
      <c r="D53" s="220" t="str">
        <f>IF('data input for RPA'!C55="","",'data input for RPA'!C55)</f>
        <v>Y</v>
      </c>
      <c r="E53" s="220" t="str">
        <f>IF('data input for RPA'!D55="","",'data input for RPA'!D55)</f>
        <v>Y</v>
      </c>
      <c r="F53" s="220">
        <f>IF('data input for RPA'!E55="","",'data input for RPA'!E55)</f>
        <v>2</v>
      </c>
      <c r="G53" s="220">
        <f>IF(D53="","",IF(E53="Y","",'data input for RPA'!F55))</f>
      </c>
      <c r="H53" s="236" t="str">
        <f t="shared" si="0"/>
        <v>MDL&lt;=C, MDL=MEC</v>
      </c>
      <c r="I53" s="264">
        <f t="shared" si="3"/>
        <v>2</v>
      </c>
      <c r="J53" s="220" t="str">
        <f t="shared" si="6"/>
        <v>MEC&lt;C, go to Step 5</v>
      </c>
      <c r="K53" s="340"/>
      <c r="L53" s="220" t="str">
        <f>IF('data input for RPA'!I55="N","",'data input for RPA'!I55)</f>
        <v>Y</v>
      </c>
      <c r="M53" s="220" t="str">
        <f>IF(L53="","",IF('data input for RPA'!J55="Y","Y",""))</f>
        <v>Y</v>
      </c>
      <c r="N53" s="295">
        <f>IF(M53="Y",'data input for RPA'!K55,"")</f>
        <v>1.3</v>
      </c>
      <c r="O53" s="402">
        <f>IF(M53="Y","",IF(L53="Y",'data input for RPA'!L55,""))</f>
      </c>
      <c r="P53" s="344" t="b">
        <f t="shared" si="4"/>
        <v>0</v>
      </c>
      <c r="Q53" s="220" t="str">
        <f t="shared" si="5"/>
        <v>No detected value of B, Step 7</v>
      </c>
      <c r="R53" s="350">
        <f>'data input for RPA'!O55</f>
      </c>
      <c r="S53" s="220">
        <f t="shared" si="1"/>
      </c>
      <c r="T53" s="263">
        <f t="shared" si="7"/>
      </c>
      <c r="U53" s="398">
        <f>IF(WQBELs!AO60="","",WQBELs!AO60)</f>
      </c>
      <c r="V53" s="399">
        <f>IF(WQBELs!AP60="","",WQBELs!AP60)</f>
      </c>
    </row>
    <row r="54" spans="1:22" ht="12.75">
      <c r="A54" s="223">
        <v>48</v>
      </c>
      <c r="B54" s="224" t="s">
        <v>222</v>
      </c>
      <c r="C54" s="262">
        <f>Criteria!C60</f>
        <v>765</v>
      </c>
      <c r="D54" s="220" t="str">
        <f>IF('data input for RPA'!C56="","",'data input for RPA'!C56)</f>
        <v>Y</v>
      </c>
      <c r="E54" s="220" t="str">
        <f>IF('data input for RPA'!D56="","",'data input for RPA'!D56)</f>
        <v>Y</v>
      </c>
      <c r="F54" s="220">
        <f>IF('data input for RPA'!E56="","",'data input for RPA'!E56)</f>
        <v>5</v>
      </c>
      <c r="G54" s="220">
        <f>IF(D54="","",IF(E54="Y","",'data input for RPA'!F56))</f>
      </c>
      <c r="H54" s="236" t="str">
        <f t="shared" si="0"/>
        <v>MDL&lt;=C, MDL=MEC</v>
      </c>
      <c r="I54" s="264">
        <f t="shared" si="3"/>
        <v>5</v>
      </c>
      <c r="J54" s="220" t="str">
        <f t="shared" si="6"/>
        <v>MEC&lt;C, go to Step 5</v>
      </c>
      <c r="K54" s="340"/>
      <c r="L54" s="220" t="str">
        <f>IF('data input for RPA'!I56="N","",'data input for RPA'!I56)</f>
        <v>Y</v>
      </c>
      <c r="M54" s="220" t="str">
        <f>IF(L54="","",IF('data input for RPA'!J56="Y","Y",""))</f>
        <v>Y</v>
      </c>
      <c r="N54" s="295">
        <f>IF(M54="Y",'data input for RPA'!K56,"")</f>
        <v>1.2</v>
      </c>
      <c r="O54" s="402">
        <f>IF(M54="Y","",IF(L54="Y",'data input for RPA'!L56,""))</f>
      </c>
      <c r="P54" s="344" t="b">
        <f t="shared" si="4"/>
        <v>0</v>
      </c>
      <c r="Q54" s="220" t="str">
        <f t="shared" si="5"/>
        <v>No detected value of B, Step 7</v>
      </c>
      <c r="R54" s="350">
        <f>'data input for RPA'!O56</f>
      </c>
      <c r="S54" s="220">
        <f t="shared" si="1"/>
      </c>
      <c r="T54" s="263">
        <f t="shared" si="7"/>
      </c>
      <c r="U54" s="398">
        <f>IF(WQBELs!AO61="","",WQBELs!AO61)</f>
      </c>
      <c r="V54" s="399">
        <f>IF(WQBELs!AP61="","",WQBELs!AP61)</f>
      </c>
    </row>
    <row r="55" spans="1:22" ht="12.75">
      <c r="A55" s="223">
        <v>49</v>
      </c>
      <c r="B55" s="224" t="s">
        <v>112</v>
      </c>
      <c r="C55" s="262">
        <f>Criteria!C61</f>
        <v>14000</v>
      </c>
      <c r="D55" s="220" t="str">
        <f>IF('data input for RPA'!C57="","",'data input for RPA'!C57)</f>
        <v>Y</v>
      </c>
      <c r="E55" s="220" t="str">
        <f>IF('data input for RPA'!D57="","",'data input for RPA'!D57)</f>
        <v>Y</v>
      </c>
      <c r="F55" s="220">
        <f>IF('data input for RPA'!E57="","",'data input for RPA'!E57)</f>
        <v>5</v>
      </c>
      <c r="G55" s="220">
        <f>IF(D55="","",IF(E55="Y","",'data input for RPA'!F57))</f>
      </c>
      <c r="H55" s="236" t="str">
        <f t="shared" si="0"/>
        <v>MDL&lt;=C, MDL=MEC</v>
      </c>
      <c r="I55" s="264">
        <f t="shared" si="3"/>
        <v>5</v>
      </c>
      <c r="J55" s="220" t="str">
        <f t="shared" si="6"/>
        <v>MEC&lt;C, go to Step 5</v>
      </c>
      <c r="K55" s="340"/>
      <c r="L55" s="220" t="str">
        <f>IF('data input for RPA'!I57="N","",'data input for RPA'!I57)</f>
        <v>Y</v>
      </c>
      <c r="M55" s="220" t="str">
        <f>IF(L55="","",IF('data input for RPA'!J57="Y","Y",""))</f>
        <v>Y</v>
      </c>
      <c r="N55" s="295">
        <f>IF(M55="Y",'data input for RPA'!K57,"")</f>
        <v>0.7</v>
      </c>
      <c r="O55" s="402">
        <f>IF(M55="Y","",IF(L55="Y",'data input for RPA'!L57,""))</f>
      </c>
      <c r="P55" s="344" t="b">
        <f t="shared" si="4"/>
        <v>0</v>
      </c>
      <c r="Q55" s="220" t="str">
        <f t="shared" si="5"/>
        <v>No detected value of B, Step 7</v>
      </c>
      <c r="R55" s="350">
        <f>'data input for RPA'!O57</f>
      </c>
      <c r="S55" s="220">
        <f t="shared" si="1"/>
      </c>
      <c r="T55" s="263">
        <f t="shared" si="7"/>
      </c>
      <c r="U55" s="398">
        <f>IF(WQBELs!AO62="","",WQBELs!AO62)</f>
      </c>
      <c r="V55" s="399">
        <f>IF(WQBELs!AP62="","",WQBELs!AP62)</f>
      </c>
    </row>
    <row r="56" spans="1:22" ht="12.75">
      <c r="A56" s="223">
        <v>50</v>
      </c>
      <c r="B56" s="224" t="s">
        <v>113</v>
      </c>
      <c r="C56" s="262" t="str">
        <f>Criteria!C62</f>
        <v>No Criteria</v>
      </c>
      <c r="D56" s="220" t="str">
        <f>IF('data input for RPA'!C58="","",'data input for RPA'!C58)</f>
        <v>Y</v>
      </c>
      <c r="E56" s="220" t="str">
        <f>IF('data input for RPA'!D58="","",'data input for RPA'!D58)</f>
        <v>Y</v>
      </c>
      <c r="F56" s="220">
        <f>IF('data input for RPA'!E58="","",'data input for RPA'!E58)</f>
        <v>5</v>
      </c>
      <c r="G56" s="220">
        <f>IF(D56="","",IF(E56="Y","",'data input for RPA'!F58))</f>
      </c>
      <c r="H56" s="236" t="str">
        <f t="shared" si="0"/>
        <v>No Criteria</v>
      </c>
      <c r="I56" s="264">
        <f t="shared" si="3"/>
        <v>5</v>
      </c>
      <c r="J56" s="220" t="str">
        <f t="shared" si="6"/>
        <v>No Criteria</v>
      </c>
      <c r="K56" s="340"/>
      <c r="L56" s="220" t="str">
        <f>IF('data input for RPA'!I58="N","",'data input for RPA'!I58)</f>
        <v>Y</v>
      </c>
      <c r="M56" s="220" t="str">
        <f>IF(L56="","",IF('data input for RPA'!J58="Y","Y",""))</f>
        <v>Y</v>
      </c>
      <c r="N56" s="295">
        <f>IF(M56="Y",'data input for RPA'!K58,"")</f>
        <v>1.3</v>
      </c>
      <c r="O56" s="402">
        <f>IF(M56="Y","",IF(L56="Y",'data input for RPA'!L58,""))</f>
      </c>
      <c r="P56" s="344" t="b">
        <f t="shared" si="4"/>
        <v>0</v>
      </c>
      <c r="Q56" s="220" t="str">
        <f t="shared" si="5"/>
        <v>No Criteria</v>
      </c>
      <c r="R56" s="350" t="str">
        <f>'data input for RPA'!O58</f>
        <v>No Criteria</v>
      </c>
      <c r="S56" s="220">
        <f t="shared" si="1"/>
      </c>
      <c r="T56" s="263" t="str">
        <f t="shared" si="7"/>
        <v>Uo - No Criteria</v>
      </c>
      <c r="U56" s="398">
        <f>IF(WQBELs!AO63="","",WQBELs!AO63)</f>
      </c>
      <c r="V56" s="399">
        <f>IF(WQBELs!AP63="","",WQBELs!AP63)</f>
      </c>
    </row>
    <row r="57" spans="1:22" ht="12.75">
      <c r="A57" s="223">
        <v>51</v>
      </c>
      <c r="B57" s="224" t="s">
        <v>114</v>
      </c>
      <c r="C57" s="262" t="str">
        <f>Criteria!C63</f>
        <v>No Criteria</v>
      </c>
      <c r="D57" s="220" t="str">
        <f>IF('data input for RPA'!C59="","",'data input for RPA'!C59)</f>
        <v>Y</v>
      </c>
      <c r="E57" s="220" t="str">
        <f>IF('data input for RPA'!D59="","",'data input for RPA'!D59)</f>
        <v>Y</v>
      </c>
      <c r="F57" s="220">
        <f>IF('data input for RPA'!E59="","",'data input for RPA'!E59)</f>
        <v>5</v>
      </c>
      <c r="G57" s="220">
        <f>IF(D57="","",IF(E57="Y","",'data input for RPA'!F59))</f>
      </c>
      <c r="H57" s="236" t="str">
        <f t="shared" si="0"/>
        <v>No Criteria</v>
      </c>
      <c r="I57" s="264">
        <f t="shared" si="3"/>
        <v>5</v>
      </c>
      <c r="J57" s="220" t="str">
        <f t="shared" si="6"/>
        <v>No Criteria</v>
      </c>
      <c r="K57" s="340"/>
      <c r="L57" s="220" t="str">
        <f>IF('data input for RPA'!I59="N","",'data input for RPA'!I59)</f>
        <v>Y</v>
      </c>
      <c r="M57" s="220" t="str">
        <f>IF(L57="","",IF('data input for RPA'!J59="Y","Y",""))</f>
        <v>Y</v>
      </c>
      <c r="N57" s="295">
        <f>IF(M57="Y",'data input for RPA'!K59,"")</f>
        <v>1.6</v>
      </c>
      <c r="O57" s="402">
        <f>IF(M57="Y","",IF(L57="Y",'data input for RPA'!L59,""))</f>
      </c>
      <c r="P57" s="344" t="b">
        <f t="shared" si="4"/>
        <v>0</v>
      </c>
      <c r="Q57" s="220" t="str">
        <f t="shared" si="5"/>
        <v>No Criteria</v>
      </c>
      <c r="R57" s="350" t="str">
        <f>'data input for RPA'!O59</f>
        <v>No Criteria</v>
      </c>
      <c r="S57" s="220">
        <f t="shared" si="1"/>
      </c>
      <c r="T57" s="263" t="str">
        <f t="shared" si="7"/>
        <v>Uo - No Criteria</v>
      </c>
      <c r="U57" s="398">
        <f>IF(WQBELs!AO64="","",WQBELs!AO64)</f>
      </c>
      <c r="V57" s="399">
        <f>IF(WQBELs!AP64="","",WQBELs!AP64)</f>
      </c>
    </row>
    <row r="58" spans="1:22" ht="12.75">
      <c r="A58" s="223">
        <v>52</v>
      </c>
      <c r="B58" s="224" t="s">
        <v>223</v>
      </c>
      <c r="C58" s="262" t="str">
        <f>Criteria!C64</f>
        <v>No Criteria</v>
      </c>
      <c r="D58" s="220" t="str">
        <f>IF('data input for RPA'!C60="","",'data input for RPA'!C60)</f>
        <v>Y</v>
      </c>
      <c r="E58" s="220" t="str">
        <f>IF('data input for RPA'!D60="","",'data input for RPA'!D60)</f>
        <v>Y</v>
      </c>
      <c r="F58" s="220">
        <f>IF('data input for RPA'!E60="","",'data input for RPA'!E60)</f>
        <v>1</v>
      </c>
      <c r="G58" s="220">
        <f>IF(D58="","",IF(E58="Y","",'data input for RPA'!F60))</f>
      </c>
      <c r="H58" s="236" t="str">
        <f t="shared" si="0"/>
        <v>No Criteria</v>
      </c>
      <c r="I58" s="264">
        <f t="shared" si="3"/>
        <v>1</v>
      </c>
      <c r="J58" s="220" t="str">
        <f t="shared" si="6"/>
        <v>No Criteria</v>
      </c>
      <c r="K58" s="340"/>
      <c r="L58" s="220" t="str">
        <f>IF('data input for RPA'!I60="N","",'data input for RPA'!I60)</f>
        <v>Y</v>
      </c>
      <c r="M58" s="220" t="str">
        <f>IF(L58="","",IF('data input for RPA'!J60="Y","Y",""))</f>
        <v>Y</v>
      </c>
      <c r="N58" s="295">
        <f>IF(M58="Y",'data input for RPA'!K60,"")</f>
        <v>1.1</v>
      </c>
      <c r="O58" s="402">
        <f>IF(M58="Y","",IF(L58="Y",'data input for RPA'!L60,""))</f>
      </c>
      <c r="P58" s="344" t="b">
        <f t="shared" si="4"/>
        <v>0</v>
      </c>
      <c r="Q58" s="220" t="str">
        <f t="shared" si="5"/>
        <v>No Criteria</v>
      </c>
      <c r="R58" s="350" t="str">
        <f>'data input for RPA'!O60</f>
        <v>No Criteria</v>
      </c>
      <c r="S58" s="220">
        <f t="shared" si="1"/>
      </c>
      <c r="T58" s="263" t="str">
        <f t="shared" si="7"/>
        <v>Uo - No Criteria</v>
      </c>
      <c r="U58" s="398">
        <f>IF(WQBELs!AO65="","",WQBELs!AO65)</f>
      </c>
      <c r="V58" s="399">
        <f>IF(WQBELs!AP65="","",WQBELs!AP65)</f>
      </c>
    </row>
    <row r="59" spans="1:22" ht="12.75">
      <c r="A59" s="223">
        <v>53</v>
      </c>
      <c r="B59" s="224" t="s">
        <v>116</v>
      </c>
      <c r="C59" s="262">
        <f>Criteria!C65</f>
        <v>7.9</v>
      </c>
      <c r="D59" s="220" t="str">
        <f>IF('data input for RPA'!C61="","",'data input for RPA'!C61)</f>
        <v>Y</v>
      </c>
      <c r="E59" s="220" t="str">
        <f>IF('data input for RPA'!D61="","",'data input for RPA'!D61)</f>
        <v>Y</v>
      </c>
      <c r="F59" s="220">
        <f>IF('data input for RPA'!E61="","",'data input for RPA'!E61)</f>
        <v>1</v>
      </c>
      <c r="G59" s="220">
        <f>IF(D59="","",IF(E59="Y","",'data input for RPA'!F61))</f>
      </c>
      <c r="H59" s="236" t="str">
        <f>IF(C59="No Criteria","No Criteria",IF(E59="Y",IF(F59&gt;C59,"MDL &gt; C, Interim Monitor, Go To Step 5","MDL&lt;=C, MDL=MEC"),IF(D59="Y","","No Effluent Data")))</f>
        <v>MDL&lt;=C, MDL=MEC</v>
      </c>
      <c r="I59" s="264">
        <f t="shared" si="3"/>
        <v>1</v>
      </c>
      <c r="J59" s="220" t="str">
        <f t="shared" si="6"/>
        <v>MEC&lt;C, go to Step 5</v>
      </c>
      <c r="K59" s="340"/>
      <c r="L59" s="220" t="str">
        <f>IF('data input for RPA'!I61="N","",'data input for RPA'!I61)</f>
        <v>Y</v>
      </c>
      <c r="M59" s="220" t="str">
        <f>IF(L59="","",IF('data input for RPA'!J61="Y","Y",""))</f>
        <v>Y</v>
      </c>
      <c r="N59" s="295">
        <f>IF(M59="Y",'data input for RPA'!K61,"")</f>
        <v>1</v>
      </c>
      <c r="O59" s="402">
        <f>IF(M59="Y","",IF(L59="Y",'data input for RPA'!L61,""))</f>
      </c>
      <c r="P59" s="344" t="b">
        <f t="shared" si="4"/>
        <v>0</v>
      </c>
      <c r="Q59" s="220" t="str">
        <f t="shared" si="5"/>
        <v>No detected value of B, Step 7</v>
      </c>
      <c r="R59" s="350">
        <f>'data input for RPA'!O61</f>
      </c>
      <c r="S59" s="220">
        <f t="shared" si="1"/>
      </c>
      <c r="T59" s="263">
        <f t="shared" si="7"/>
      </c>
      <c r="U59" s="398">
        <f>IF(WQBELs!AO66="","",WQBELs!AO66)</f>
      </c>
      <c r="V59" s="399">
        <f>IF(WQBELs!AP66="","",WQBELs!AP66)</f>
      </c>
    </row>
    <row r="60" spans="1:22" ht="12.75">
      <c r="A60" s="223">
        <v>54</v>
      </c>
      <c r="B60" s="224" t="s">
        <v>117</v>
      </c>
      <c r="C60" s="262">
        <f>Criteria!C66</f>
        <v>4600000</v>
      </c>
      <c r="D60" s="220" t="str">
        <f>IF('data input for RPA'!C62="","",'data input for RPA'!C62)</f>
        <v>Y</v>
      </c>
      <c r="E60" s="220" t="str">
        <f>IF('data input for RPA'!D62="","",'data input for RPA'!D62)</f>
        <v>Y</v>
      </c>
      <c r="F60" s="220">
        <f>IF('data input for RPA'!E62="","",'data input for RPA'!E62)</f>
        <v>1</v>
      </c>
      <c r="G60" s="220">
        <f>IF(D60="","",IF(E60="Y","",'data input for RPA'!F62))</f>
      </c>
      <c r="H60" s="236" t="str">
        <f>IF(C60="No Criteria","No Criteria",IF(E60="Y",IF(F60&gt;C60,"MDL &gt; C, Interim Monitor, Go To Step 5","MDL&lt;=C, MDL=MEC"),IF(D60="Y","","No Effluent Data")))</f>
        <v>MDL&lt;=C, MDL=MEC</v>
      </c>
      <c r="I60" s="264">
        <f t="shared" si="3"/>
        <v>1</v>
      </c>
      <c r="J60" s="220" t="str">
        <f t="shared" si="6"/>
        <v>MEC&lt;C, go to Step 5</v>
      </c>
      <c r="K60" s="340"/>
      <c r="L60" s="220" t="str">
        <f>IF('data input for RPA'!I62="N","",'data input for RPA'!I62)</f>
        <v>Y</v>
      </c>
      <c r="M60" s="220" t="str">
        <f>IF(L60="","",IF('data input for RPA'!J62="Y","Y",""))</f>
        <v>Y</v>
      </c>
      <c r="N60" s="295">
        <f>IF(M60="Y",'data input for RPA'!K62,"")</f>
        <v>1.3</v>
      </c>
      <c r="O60" s="402">
        <f>IF(M60="Y","",IF(L60="Y",'data input for RPA'!L62,""))</f>
      </c>
      <c r="P60" s="344" t="b">
        <f t="shared" si="4"/>
        <v>0</v>
      </c>
      <c r="Q60" s="220" t="str">
        <f t="shared" si="5"/>
        <v>No detected value of B, Step 7</v>
      </c>
      <c r="R60" s="350">
        <f>'data input for RPA'!O62</f>
      </c>
      <c r="S60" s="220">
        <f t="shared" si="1"/>
      </c>
      <c r="T60" s="263">
        <f t="shared" si="7"/>
      </c>
      <c r="U60" s="398">
        <f>IF(WQBELs!AO67="","",WQBELs!AO67)</f>
      </c>
      <c r="V60" s="399">
        <f>IF(WQBELs!AP67="","",WQBELs!AP67)</f>
      </c>
    </row>
    <row r="61" spans="1:22" ht="12.75">
      <c r="A61" s="223">
        <v>55</v>
      </c>
      <c r="B61" s="224" t="s">
        <v>118</v>
      </c>
      <c r="C61" s="262">
        <f>Criteria!C67</f>
        <v>6.5</v>
      </c>
      <c r="D61" s="220" t="str">
        <f>IF('data input for RPA'!C63="","",'data input for RPA'!C63)</f>
        <v>Y</v>
      </c>
      <c r="E61" s="220" t="str">
        <f>IF('data input for RPA'!D63="","",'data input for RPA'!D63)</f>
        <v>N</v>
      </c>
      <c r="F61" s="220">
        <f>IF('data input for RPA'!E63="","",'data input for RPA'!E63)</f>
      </c>
      <c r="G61" s="220">
        <f>IF(D61="","",IF(E61="Y","",'data input for RPA'!F63))</f>
        <v>5</v>
      </c>
      <c r="H61" s="236">
        <f>IF(C61="No Criteria","No Criteria",IF(E61="Y",IF(F61&gt;C61,"MDL &gt; C, Interim Monitor, Go To Step 5","All ND MDL&lt;=C, MDL=MEC"),IF(D61="Y","","No Effluent Data")))</f>
      </c>
      <c r="I61" s="264">
        <f t="shared" si="3"/>
        <v>5</v>
      </c>
      <c r="J61" s="220" t="str">
        <f t="shared" si="6"/>
        <v>MEC&lt;C, go to Step 5</v>
      </c>
      <c r="K61" s="340"/>
      <c r="L61" s="220" t="str">
        <f>IF('data input for RPA'!I63="N","",'data input for RPA'!I63)</f>
        <v>Y</v>
      </c>
      <c r="M61" s="220" t="str">
        <f>IF(L61="","",IF('data input for RPA'!J63="Y","Y",""))</f>
        <v>Y</v>
      </c>
      <c r="N61" s="295">
        <f>IF(M61="Y",'data input for RPA'!K63,"")</f>
        <v>1.3</v>
      </c>
      <c r="O61" s="402">
        <f>IF(M61="Y","",IF(L61="Y",'data input for RPA'!L63,""))</f>
      </c>
      <c r="P61" s="344" t="b">
        <f t="shared" si="4"/>
        <v>0</v>
      </c>
      <c r="Q61" s="220" t="str">
        <f t="shared" si="5"/>
        <v>No detected value of B, Step 7</v>
      </c>
      <c r="R61" s="350">
        <f>'data input for RPA'!O63</f>
      </c>
      <c r="S61" s="220">
        <f t="shared" si="1"/>
      </c>
      <c r="T61" s="263">
        <f t="shared" si="7"/>
      </c>
      <c r="U61" s="398">
        <f>IF(WQBELs!AO68="","",WQBELs!AO68)</f>
      </c>
      <c r="V61" s="399">
        <f>IF(WQBELs!AP68="","",WQBELs!AP68)</f>
      </c>
    </row>
    <row r="62" spans="1:22" ht="12.75">
      <c r="A62" s="223">
        <v>56</v>
      </c>
      <c r="B62" s="224" t="s">
        <v>119</v>
      </c>
      <c r="C62" s="262">
        <f>Criteria!C68</f>
        <v>2700</v>
      </c>
      <c r="D62" s="220" t="str">
        <f>IF('data input for RPA'!C64="","",'data input for RPA'!C64)</f>
        <v>Y</v>
      </c>
      <c r="E62" s="220" t="str">
        <f>IF('data input for RPA'!D64="","",'data input for RPA'!D64)</f>
        <v>Y</v>
      </c>
      <c r="F62" s="220">
        <f>IF('data input for RPA'!E64="","",'data input for RPA'!E64)</f>
        <v>0.3</v>
      </c>
      <c r="G62" s="220">
        <f>IF(D62="","",IF(E62="Y","",'data input for RPA'!F64))</f>
      </c>
      <c r="H62" s="236" t="str">
        <f aca="true" t="shared" si="8" ref="H62:H126">IF(C62="No Criteria","No Criteria",IF(E62="Y",IF(F62&gt;C62,"MDL &gt; C, Interim Monitor, Go To Step 5","All ND MDL&lt;=C, MDL=MEC"),IF(D62="Y","","No Effluent Data")))</f>
        <v>All ND MDL&lt;=C, MDL=MEC</v>
      </c>
      <c r="I62" s="264">
        <f t="shared" si="3"/>
        <v>0.3</v>
      </c>
      <c r="J62" s="220" t="str">
        <f t="shared" si="6"/>
        <v>MEC&lt;C, go to Step 5</v>
      </c>
      <c r="K62" s="340"/>
      <c r="L62" s="220" t="str">
        <f>IF('data input for RPA'!I64="N","",'data input for RPA'!I64)</f>
        <v>Y</v>
      </c>
      <c r="M62" s="220">
        <f>IF(L62="","",IF('data input for RPA'!J64="Y","Y",""))</f>
      </c>
      <c r="N62" s="295">
        <f>IF(M62="Y",'data input for RPA'!K64,"")</f>
      </c>
      <c r="O62" s="402">
        <f>IF(M62="Y","",IF(L62="Y",'data input for RPA'!L64,""))</f>
        <v>0.0015</v>
      </c>
      <c r="P62" s="344">
        <f t="shared" si="4"/>
      </c>
      <c r="Q62" s="220" t="str">
        <f t="shared" si="5"/>
        <v>B&lt;C, Step 7</v>
      </c>
      <c r="R62" s="350">
        <f>'data input for RPA'!O64</f>
      </c>
      <c r="S62" s="220">
        <f t="shared" si="1"/>
      </c>
      <c r="T62" s="263">
        <f t="shared" si="7"/>
      </c>
      <c r="U62" s="398">
        <f>IF(WQBELs!AO69="","",WQBELs!AO69)</f>
      </c>
      <c r="V62" s="399">
        <f>IF(WQBELs!AP69="","",WQBELs!AP69)</f>
      </c>
    </row>
    <row r="63" spans="1:22" ht="12.75">
      <c r="A63" s="223">
        <v>57</v>
      </c>
      <c r="B63" s="224" t="s">
        <v>224</v>
      </c>
      <c r="C63" s="262" t="str">
        <f>Criteria!C69</f>
        <v>No Criteria</v>
      </c>
      <c r="D63" s="220" t="str">
        <f>IF('data input for RPA'!C65="","",'data input for RPA'!C65)</f>
        <v>Y</v>
      </c>
      <c r="E63" s="220" t="str">
        <f>IF('data input for RPA'!D65="","",'data input for RPA'!D65)</f>
        <v>Y</v>
      </c>
      <c r="F63" s="220">
        <f>IF('data input for RPA'!E65="","",'data input for RPA'!E65)</f>
        <v>0.2</v>
      </c>
      <c r="G63" s="220">
        <f>IF(D63="","",IF(E63="Y","",'data input for RPA'!F65))</f>
      </c>
      <c r="H63" s="236" t="str">
        <f t="shared" si="8"/>
        <v>No Criteria</v>
      </c>
      <c r="I63" s="264">
        <f t="shared" si="3"/>
        <v>0.2</v>
      </c>
      <c r="J63" s="220" t="str">
        <f t="shared" si="6"/>
        <v>No Criteria</v>
      </c>
      <c r="K63" s="340"/>
      <c r="L63" s="220" t="str">
        <f>IF('data input for RPA'!I65="N","",'data input for RPA'!I65)</f>
        <v>Y</v>
      </c>
      <c r="M63" s="220">
        <f>IF(L63="","",IF('data input for RPA'!J65="Y","Y",""))</f>
      </c>
      <c r="N63" s="295">
        <f>IF(M63="Y",'data input for RPA'!K65,"")</f>
      </c>
      <c r="O63" s="402">
        <f>IF(M63="Y","",IF(L63="Y",'data input for RPA'!L65,""))</f>
        <v>0.00053</v>
      </c>
      <c r="P63" s="344">
        <f t="shared" si="4"/>
      </c>
      <c r="Q63" s="220" t="str">
        <f t="shared" si="5"/>
        <v>No Criteria</v>
      </c>
      <c r="R63" s="350" t="str">
        <f>'data input for RPA'!O65</f>
        <v>No Criteria</v>
      </c>
      <c r="S63" s="220">
        <f t="shared" si="1"/>
      </c>
      <c r="T63" s="263" t="str">
        <f t="shared" si="7"/>
        <v>Uo - No Criteria</v>
      </c>
      <c r="U63" s="398">
        <f>IF(WQBELs!AO70="","",WQBELs!AO70)</f>
      </c>
      <c r="V63" s="399">
        <f>IF(WQBELs!AP70="","",WQBELs!AP70)</f>
      </c>
    </row>
    <row r="64" spans="1:22" ht="12.75">
      <c r="A64" s="223">
        <v>58</v>
      </c>
      <c r="B64" s="224" t="s">
        <v>121</v>
      </c>
      <c r="C64" s="262">
        <f>Criteria!C70</f>
        <v>110000</v>
      </c>
      <c r="D64" s="220" t="str">
        <f>IF('data input for RPA'!C66="","",'data input for RPA'!C66)</f>
        <v>Y</v>
      </c>
      <c r="E64" s="220" t="str">
        <f>IF('data input for RPA'!D66="","",'data input for RPA'!D66)</f>
        <v>Y</v>
      </c>
      <c r="F64" s="220">
        <f>IF('data input for RPA'!E66="","",'data input for RPA'!E66)</f>
        <v>0.3</v>
      </c>
      <c r="G64" s="220">
        <f>IF(D64="","",IF(E64="Y","",'data input for RPA'!F66))</f>
      </c>
      <c r="H64" s="236" t="str">
        <f t="shared" si="8"/>
        <v>All ND MDL&lt;=C, MDL=MEC</v>
      </c>
      <c r="I64" s="264">
        <f t="shared" si="3"/>
        <v>0.3</v>
      </c>
      <c r="J64" s="220" t="str">
        <f t="shared" si="6"/>
        <v>MEC&lt;C, go to Step 5</v>
      </c>
      <c r="K64" s="340"/>
      <c r="L64" s="220" t="str">
        <f>IF('data input for RPA'!I66="N","",'data input for RPA'!I66)</f>
        <v>Y</v>
      </c>
      <c r="M64" s="220">
        <f>IF(L64="","",IF('data input for RPA'!J66="Y","Y",""))</f>
      </c>
      <c r="N64" s="295">
        <f>IF(M64="Y",'data input for RPA'!K66,"")</f>
      </c>
      <c r="O64" s="402">
        <f>IF(M64="Y","",IF(L64="Y",'data input for RPA'!L66,""))</f>
        <v>0.0005</v>
      </c>
      <c r="P64" s="344">
        <f t="shared" si="4"/>
      </c>
      <c r="Q64" s="220" t="str">
        <f t="shared" si="5"/>
        <v>B&lt;C, Step 7</v>
      </c>
      <c r="R64" s="350">
        <f>'data input for RPA'!O66</f>
      </c>
      <c r="S64" s="220">
        <f t="shared" si="1"/>
      </c>
      <c r="T64" s="263">
        <f t="shared" si="7"/>
      </c>
      <c r="U64" s="398">
        <f>IF(WQBELs!AO71="","",WQBELs!AO71)</f>
      </c>
      <c r="V64" s="399">
        <f>IF(WQBELs!AP71="","",WQBELs!AP71)</f>
      </c>
    </row>
    <row r="65" spans="1:22" ht="12.75">
      <c r="A65" s="223">
        <v>59</v>
      </c>
      <c r="B65" s="224" t="s">
        <v>122</v>
      </c>
      <c r="C65" s="262">
        <f>Criteria!C71</f>
        <v>0.00054</v>
      </c>
      <c r="D65" s="220" t="str">
        <f>IF('data input for RPA'!C67="","",'data input for RPA'!C67)</f>
        <v>Y</v>
      </c>
      <c r="E65" s="220" t="str">
        <f>IF('data input for RPA'!D67="","",'data input for RPA'!D67)</f>
        <v>Y</v>
      </c>
      <c r="F65" s="220">
        <f>IF('data input for RPA'!E67="","",'data input for RPA'!E67)</f>
        <v>5</v>
      </c>
      <c r="G65" s="220">
        <f>IF(D65="","",IF(E65="Y","",'data input for RPA'!F67))</f>
      </c>
      <c r="H65" s="236" t="str">
        <f t="shared" si="8"/>
        <v>MDL &gt; C, Interim Monitor, Go To Step 5</v>
      </c>
      <c r="I65" s="264">
        <f t="shared" si="3"/>
      </c>
      <c r="J65" s="220">
        <f t="shared" si="6"/>
      </c>
      <c r="K65" s="340"/>
      <c r="L65" s="220" t="str">
        <f>IF('data input for RPA'!I67="N","",'data input for RPA'!I67)</f>
        <v>Y</v>
      </c>
      <c r="M65" s="220" t="str">
        <f>IF(L65="","",IF('data input for RPA'!J67="Y","Y",""))</f>
        <v>Y</v>
      </c>
      <c r="N65" s="295">
        <f>IF(M65="Y",'data input for RPA'!K67,"")</f>
        <v>0.0015</v>
      </c>
      <c r="O65" s="402">
        <f>IF(M65="Y","",IF(L65="Y",'data input for RPA'!L67,""))</f>
      </c>
      <c r="P65" s="344" t="str">
        <f t="shared" si="4"/>
        <v>Y</v>
      </c>
      <c r="Q65" s="220" t="str">
        <f t="shared" si="5"/>
        <v>No detected value of B, Step 7</v>
      </c>
      <c r="R65" s="350">
        <f>'data input for RPA'!O67</f>
      </c>
      <c r="S65" s="220">
        <f t="shared" si="1"/>
      </c>
      <c r="T65" s="263" t="str">
        <f t="shared" si="7"/>
        <v>Effluent MDL &gt; C, Interim Monitor</v>
      </c>
      <c r="U65" s="398">
        <f>IF(WQBELs!AO72="","",WQBELs!AO72)</f>
      </c>
      <c r="V65" s="399">
        <f>IF(WQBELs!AP72="","",WQBELs!AP72)</f>
      </c>
    </row>
    <row r="66" spans="1:22" ht="12.75">
      <c r="A66" s="223">
        <v>60</v>
      </c>
      <c r="B66" s="224" t="s">
        <v>123</v>
      </c>
      <c r="C66" s="262">
        <f>Criteria!C72</f>
        <v>0.049</v>
      </c>
      <c r="D66" s="220" t="str">
        <f>IF('data input for RPA'!C68="","",'data input for RPA'!C68)</f>
        <v>Y</v>
      </c>
      <c r="E66" s="220" t="str">
        <f>IF('data input for RPA'!D68="","",'data input for RPA'!D68)</f>
        <v>Y</v>
      </c>
      <c r="F66" s="220">
        <f>IF('data input for RPA'!E68="","",'data input for RPA'!E68)</f>
        <v>0.1</v>
      </c>
      <c r="G66" s="220">
        <f>IF(D66="","",IF(E66="Y","",'data input for RPA'!F68))</f>
      </c>
      <c r="H66" s="236" t="str">
        <f t="shared" si="8"/>
        <v>MDL &gt; C, Interim Monitor, Go To Step 5</v>
      </c>
      <c r="I66" s="264">
        <f t="shared" si="3"/>
      </c>
      <c r="J66" s="220">
        <f t="shared" si="6"/>
      </c>
      <c r="K66" s="340"/>
      <c r="L66" s="220" t="str">
        <f>IF('data input for RPA'!I68="N","",'data input for RPA'!I68)</f>
        <v>Y</v>
      </c>
      <c r="M66" s="220">
        <f>IF(L66="","",IF('data input for RPA'!J68="Y","Y",""))</f>
      </c>
      <c r="N66" s="295">
        <f>IF(M66="Y",'data input for RPA'!K68,"")</f>
      </c>
      <c r="O66" s="402">
        <f>IF(M66="Y","",IF(L66="Y",'data input for RPA'!L68,""))</f>
        <v>0.0053</v>
      </c>
      <c r="P66" s="344">
        <f t="shared" si="4"/>
      </c>
      <c r="Q66" s="220" t="str">
        <f t="shared" si="5"/>
        <v>B&lt;C, Step 7</v>
      </c>
      <c r="R66" s="350">
        <f>'data input for RPA'!O68</f>
      </c>
      <c r="S66" s="220">
        <f t="shared" si="1"/>
      </c>
      <c r="T66" s="263" t="str">
        <f t="shared" si="7"/>
        <v>Effluent MDL &gt; C, Interim Monitor</v>
      </c>
      <c r="U66" s="398">
        <f>IF(WQBELs!AO73="","",WQBELs!AO73)</f>
      </c>
      <c r="V66" s="399">
        <f>IF(WQBELs!AP73="","",WQBELs!AP73)</f>
      </c>
    </row>
    <row r="67" spans="1:22" ht="12.75">
      <c r="A67" s="223">
        <v>61</v>
      </c>
      <c r="B67" s="224" t="s">
        <v>124</v>
      </c>
      <c r="C67" s="262">
        <f>Criteria!C73</f>
        <v>0.049</v>
      </c>
      <c r="D67" s="220" t="str">
        <f>IF('data input for RPA'!C69="","",'data input for RPA'!C69)</f>
        <v>Y</v>
      </c>
      <c r="E67" s="220" t="str">
        <f>IF('data input for RPA'!D69="","",'data input for RPA'!D69)</f>
        <v>Y</v>
      </c>
      <c r="F67" s="220">
        <f>IF('data input for RPA'!E69="","",'data input for RPA'!E69)</f>
        <v>0.3</v>
      </c>
      <c r="G67" s="220">
        <f>IF(D67="","",IF(E67="Y","",'data input for RPA'!F69))</f>
      </c>
      <c r="H67" s="236" t="str">
        <f t="shared" si="8"/>
        <v>MDL &gt; C, Interim Monitor, Go To Step 5</v>
      </c>
      <c r="I67" s="264">
        <f t="shared" si="3"/>
      </c>
      <c r="J67" s="220">
        <f t="shared" si="6"/>
      </c>
      <c r="K67" s="340"/>
      <c r="L67" s="220" t="str">
        <f>IF('data input for RPA'!I69="N","",'data input for RPA'!I69)</f>
        <v>Y</v>
      </c>
      <c r="M67" s="220">
        <f>IF(L67="","",IF('data input for RPA'!J69="Y","Y",""))</f>
      </c>
      <c r="N67" s="295">
        <f>IF(M67="Y",'data input for RPA'!K69,"")</f>
      </c>
      <c r="O67" s="402">
        <f>IF(M67="Y","",IF(L67="Y",'data input for RPA'!L69,""))</f>
        <v>0.00029</v>
      </c>
      <c r="P67" s="344">
        <f t="shared" si="4"/>
      </c>
      <c r="Q67" s="220" t="str">
        <f t="shared" si="5"/>
        <v>B&lt;C, Step 7</v>
      </c>
      <c r="R67" s="350">
        <f>'data input for RPA'!O69</f>
      </c>
      <c r="S67" s="220">
        <f t="shared" si="1"/>
      </c>
      <c r="T67" s="263" t="str">
        <f t="shared" si="7"/>
        <v>Effluent MDL &gt; C, Interim Monitor</v>
      </c>
      <c r="U67" s="398">
        <f>IF(WQBELs!AO74="","",WQBELs!AO74)</f>
      </c>
      <c r="V67" s="399">
        <f>IF(WQBELs!AP74="","",WQBELs!AP74)</f>
      </c>
    </row>
    <row r="68" spans="1:22" ht="12.75">
      <c r="A68" s="223">
        <v>62</v>
      </c>
      <c r="B68" s="224" t="s">
        <v>125</v>
      </c>
      <c r="C68" s="262">
        <f>Criteria!C74</f>
        <v>0.049</v>
      </c>
      <c r="D68" s="220" t="str">
        <f>IF('data input for RPA'!C70="","",'data input for RPA'!C70)</f>
        <v>Y</v>
      </c>
      <c r="E68" s="220" t="str">
        <f>IF('data input for RPA'!D70="","",'data input for RPA'!D70)</f>
        <v>Y</v>
      </c>
      <c r="F68" s="220">
        <f>IF('data input for RPA'!E70="","",'data input for RPA'!E70)</f>
        <v>0.3</v>
      </c>
      <c r="G68" s="220">
        <f>IF(D68="","",IF(E68="Y","",'data input for RPA'!F70))</f>
      </c>
      <c r="H68" s="236" t="str">
        <f t="shared" si="8"/>
        <v>MDL &gt; C, Interim Monitor, Go To Step 5</v>
      </c>
      <c r="I68" s="264">
        <f t="shared" si="3"/>
      </c>
      <c r="J68" s="220">
        <f t="shared" si="6"/>
      </c>
      <c r="K68" s="340"/>
      <c r="L68" s="220" t="str">
        <f>IF('data input for RPA'!I70="N","",'data input for RPA'!I70)</f>
        <v>Y</v>
      </c>
      <c r="M68" s="220">
        <f>IF(L68="","",IF('data input for RPA'!J70="Y","Y",""))</f>
      </c>
      <c r="N68" s="295">
        <f>IF(M68="Y",'data input for RPA'!K70,"")</f>
      </c>
      <c r="O68" s="402">
        <f>IF(M68="Y","",IF(L68="Y",'data input for RPA'!L70,""))</f>
        <v>0.0046</v>
      </c>
      <c r="P68" s="344">
        <f t="shared" si="4"/>
      </c>
      <c r="Q68" s="220" t="str">
        <f t="shared" si="5"/>
        <v>B&lt;C, Step 7</v>
      </c>
      <c r="R68" s="350">
        <f>'data input for RPA'!O70</f>
      </c>
      <c r="S68" s="220">
        <f t="shared" si="1"/>
      </c>
      <c r="T68" s="263" t="str">
        <f t="shared" si="7"/>
        <v>Effluent MDL &gt; C, Interim Monitor</v>
      </c>
      <c r="U68" s="398">
        <f>IF(WQBELs!AO75="","",WQBELs!AO75)</f>
      </c>
      <c r="V68" s="399">
        <f>IF(WQBELs!AP75="","",WQBELs!AP75)</f>
      </c>
    </row>
    <row r="69" spans="1:22" ht="12.75">
      <c r="A69" s="223">
        <v>63</v>
      </c>
      <c r="B69" s="224" t="s">
        <v>126</v>
      </c>
      <c r="C69" s="262" t="str">
        <f>Criteria!C75</f>
        <v>No Criteria</v>
      </c>
      <c r="D69" s="220" t="str">
        <f>IF('data input for RPA'!C71="","",'data input for RPA'!C71)</f>
        <v>Y</v>
      </c>
      <c r="E69" s="220" t="str">
        <f>IF('data input for RPA'!D71="","",'data input for RPA'!D71)</f>
        <v>Y</v>
      </c>
      <c r="F69" s="220">
        <f>IF('data input for RPA'!E71="","",'data input for RPA'!E71)</f>
        <v>0.3</v>
      </c>
      <c r="G69" s="220">
        <f>IF(D69="","",IF(E69="Y","",'data input for RPA'!F71))</f>
      </c>
      <c r="H69" s="236" t="str">
        <f>IF(C69="No Criteria","No Criteria",IF(E69="Y",IF(F69&gt;C69,"MDL &gt; C, Interim Monitor, Go To Step 5","All ND MDL&lt;=C, MDL=MEC"),IF(D69="Y","","No Effluent Data")))</f>
        <v>No Criteria</v>
      </c>
      <c r="I69" s="264">
        <f t="shared" si="3"/>
        <v>0.3</v>
      </c>
      <c r="J69" s="220" t="str">
        <f t="shared" si="6"/>
        <v>No Criteria</v>
      </c>
      <c r="K69" s="340"/>
      <c r="L69" s="220" t="str">
        <f>IF('data input for RPA'!I71="N","",'data input for RPA'!I71)</f>
        <v>Y</v>
      </c>
      <c r="M69" s="220">
        <f>IF(L69="","",IF('data input for RPA'!J71="Y","Y",""))</f>
      </c>
      <c r="N69" s="295">
        <f>IF(M69="Y",'data input for RPA'!K71,"")</f>
      </c>
      <c r="O69" s="402">
        <f>IF(M69="Y","",IF(L69="Y",'data input for RPA'!L71,""))</f>
        <v>0.0027</v>
      </c>
      <c r="P69" s="344">
        <f t="shared" si="4"/>
      </c>
      <c r="Q69" s="220" t="str">
        <f t="shared" si="5"/>
        <v>No Criteria</v>
      </c>
      <c r="R69" s="350" t="str">
        <f>'data input for RPA'!O71</f>
        <v>No Criteria</v>
      </c>
      <c r="S69" s="220">
        <f aca="true" t="shared" si="9" ref="S69:S128">IF(J69="Y","Y",IF(Q69="Y","Y",IF(R69="Y","Y","")))</f>
      </c>
      <c r="T69" s="263" t="str">
        <f t="shared" si="7"/>
        <v>Uo - No Criteria</v>
      </c>
      <c r="U69" s="398">
        <f>IF(WQBELs!AO76="","",WQBELs!AO76)</f>
      </c>
      <c r="V69" s="399">
        <f>IF(WQBELs!AP76="","",WQBELs!AP76)</f>
      </c>
    </row>
    <row r="70" spans="1:22" ht="12.75">
      <c r="A70" s="223">
        <v>64</v>
      </c>
      <c r="B70" s="224" t="s">
        <v>127</v>
      </c>
      <c r="C70" s="262">
        <f>Criteria!C76</f>
        <v>0.049</v>
      </c>
      <c r="D70" s="220" t="str">
        <f>IF('data input for RPA'!C72="","",'data input for RPA'!C72)</f>
        <v>Y</v>
      </c>
      <c r="E70" s="220" t="str">
        <f>IF('data input for RPA'!D72="","",'data input for RPA'!D72)</f>
        <v>Y</v>
      </c>
      <c r="F70" s="220">
        <f>IF('data input for RPA'!E72="","",'data input for RPA'!E72)</f>
        <v>0.3</v>
      </c>
      <c r="G70" s="220">
        <f>IF(D70="","",IF(E70="Y","",'data input for RPA'!F72))</f>
      </c>
      <c r="H70" s="236" t="str">
        <f t="shared" si="8"/>
        <v>MDL &gt; C, Interim Monitor, Go To Step 5</v>
      </c>
      <c r="I70" s="264">
        <f aca="true" t="shared" si="10" ref="I70:I128">IF(D70="N","",IF(E70="Y",IF(F70&lt;C70,F70,""),G70))</f>
      </c>
      <c r="J70" s="220">
        <f t="shared" si="6"/>
      </c>
      <c r="K70" s="340"/>
      <c r="L70" s="220" t="str">
        <f>IF('data input for RPA'!I72="N","",'data input for RPA'!I72)</f>
        <v>Y</v>
      </c>
      <c r="M70" s="220">
        <f>IF(L70="","",IF('data input for RPA'!J72="Y","Y",""))</f>
      </c>
      <c r="N70" s="295">
        <f>IF(M70="Y",'data input for RPA'!K72,"")</f>
      </c>
      <c r="O70" s="402">
        <f>IF(M70="Y","",IF(L70="Y",'data input for RPA'!L72,""))</f>
        <v>0.0015</v>
      </c>
      <c r="P70" s="344">
        <f aca="true" t="shared" si="11" ref="P70:P127">IF(M70="Y",IF(N70&gt;0,IF(N70&gt;C70,"Y")),"")</f>
      </c>
      <c r="Q70" s="220" t="str">
        <f aca="true" t="shared" si="12" ref="Q70:Q128">IF(C70="No Criteria","No Criteria",IF(O70="","No detected value of B, Step 7",IF(O70&gt;C70,"Y","B&lt;C, Step 7")))</f>
        <v>B&lt;C, Step 7</v>
      </c>
      <c r="R70" s="350">
        <f>'data input for RPA'!O72</f>
      </c>
      <c r="S70" s="220">
        <f t="shared" si="9"/>
      </c>
      <c r="T70" s="263" t="str">
        <f t="shared" si="7"/>
        <v>Effluent MDL &gt; C, Interim Monitor</v>
      </c>
      <c r="U70" s="398">
        <f>IF(WQBELs!AO77="","",WQBELs!AO77)</f>
      </c>
      <c r="V70" s="399">
        <f>IF(WQBELs!AP77="","",WQBELs!AP77)</f>
      </c>
    </row>
    <row r="71" spans="1:22" ht="12.75">
      <c r="A71" s="223">
        <v>65</v>
      </c>
      <c r="B71" s="224" t="s">
        <v>128</v>
      </c>
      <c r="C71" s="262" t="str">
        <f>Criteria!C77</f>
        <v>No Criteria</v>
      </c>
      <c r="D71" s="220" t="str">
        <f>IF('data input for RPA'!C73="","",'data input for RPA'!C73)</f>
        <v>Y</v>
      </c>
      <c r="E71" s="220" t="str">
        <f>IF('data input for RPA'!D73="","",'data input for RPA'!D73)</f>
        <v>Y</v>
      </c>
      <c r="F71" s="220">
        <f>IF('data input for RPA'!E73="","",'data input for RPA'!E73)</f>
        <v>2</v>
      </c>
      <c r="G71" s="220">
        <f>IF(D71="","",IF(E71="Y","",'data input for RPA'!F73))</f>
      </c>
      <c r="H71" s="236" t="str">
        <f t="shared" si="8"/>
        <v>No Criteria</v>
      </c>
      <c r="I71" s="264">
        <f t="shared" si="10"/>
        <v>2</v>
      </c>
      <c r="J71" s="220" t="str">
        <f aca="true" t="shared" si="13" ref="J71:J128">IF(C71="No Criteria","No Criteria",IF(I71="","",IF(I71&gt;=C71,"Y","MEC&lt;C, go to Step 5")))</f>
        <v>No Criteria</v>
      </c>
      <c r="K71" s="340"/>
      <c r="L71" s="220" t="str">
        <f>IF('data input for RPA'!I73="N","",'data input for RPA'!I73)</f>
        <v>Y</v>
      </c>
      <c r="M71" s="220" t="str">
        <f>IF(L71="","",IF('data input for RPA'!J73="Y","Y",""))</f>
        <v>Y</v>
      </c>
      <c r="N71" s="295">
        <f>IF(M71="Y",'data input for RPA'!K73,"")</f>
        <v>0.3</v>
      </c>
      <c r="O71" s="402">
        <f>IF(M71="Y","",IF(L71="Y",'data input for RPA'!L73,""))</f>
      </c>
      <c r="P71" s="344" t="b">
        <f t="shared" si="11"/>
        <v>0</v>
      </c>
      <c r="Q71" s="220" t="str">
        <f t="shared" si="12"/>
        <v>No Criteria</v>
      </c>
      <c r="R71" s="350" t="str">
        <f>'data input for RPA'!O73</f>
        <v>No Criteria</v>
      </c>
      <c r="S71" s="220">
        <f t="shared" si="9"/>
      </c>
      <c r="T71" s="263" t="str">
        <f t="shared" si="7"/>
        <v>Uo - No Criteria</v>
      </c>
      <c r="U71" s="398">
        <f>IF(WQBELs!AO78="","",WQBELs!AO78)</f>
      </c>
      <c r="V71" s="399">
        <f>IF(WQBELs!AP78="","",WQBELs!AP78)</f>
      </c>
    </row>
    <row r="72" spans="1:22" ht="12.75">
      <c r="A72" s="223">
        <v>66</v>
      </c>
      <c r="B72" s="224" t="s">
        <v>129</v>
      </c>
      <c r="C72" s="262">
        <f>Criteria!C78</f>
        <v>1.4</v>
      </c>
      <c r="D72" s="220" t="str">
        <f>IF('data input for RPA'!C74="","",'data input for RPA'!C74)</f>
        <v>Y</v>
      </c>
      <c r="E72" s="220" t="str">
        <f>IF('data input for RPA'!D74="","",'data input for RPA'!D74)</f>
        <v>Y</v>
      </c>
      <c r="F72" s="220">
        <f>IF('data input for RPA'!E74="","",'data input for RPA'!E74)</f>
        <v>1</v>
      </c>
      <c r="G72" s="220">
        <f>IF(D72="","",IF(E72="Y","",'data input for RPA'!F74))</f>
      </c>
      <c r="H72" s="236" t="str">
        <f t="shared" si="8"/>
        <v>All ND MDL&lt;=C, MDL=MEC</v>
      </c>
      <c r="I72" s="264">
        <f t="shared" si="10"/>
        <v>1</v>
      </c>
      <c r="J72" s="220" t="str">
        <f t="shared" si="13"/>
        <v>MEC&lt;C, go to Step 5</v>
      </c>
      <c r="K72" s="340"/>
      <c r="L72" s="220" t="str">
        <f>IF('data input for RPA'!I74="N","",'data input for RPA'!I74)</f>
        <v>Y</v>
      </c>
      <c r="M72" s="220" t="str">
        <f>IF(L72="","",IF('data input for RPA'!J74="Y","Y",""))</f>
        <v>Y</v>
      </c>
      <c r="N72" s="295">
        <f>IF(M72="Y",'data input for RPA'!K74,"")</f>
        <v>0.3</v>
      </c>
      <c r="O72" s="402">
        <f>IF(M72="Y","",IF(L72="Y",'data input for RPA'!L74,""))</f>
      </c>
      <c r="P72" s="344" t="b">
        <f t="shared" si="11"/>
        <v>0</v>
      </c>
      <c r="Q72" s="220" t="str">
        <f t="shared" si="12"/>
        <v>No detected value of B, Step 7</v>
      </c>
      <c r="R72" s="350">
        <f>'data input for RPA'!O74</f>
      </c>
      <c r="S72" s="220">
        <f t="shared" si="9"/>
      </c>
      <c r="T72" s="263">
        <f t="shared" si="7"/>
      </c>
      <c r="U72" s="398">
        <f>IF(WQBELs!AO79="","",WQBELs!AO79)</f>
      </c>
      <c r="V72" s="399">
        <f>IF(WQBELs!AP79="","",WQBELs!AP79)</f>
      </c>
    </row>
    <row r="73" spans="1:22" ht="12.75">
      <c r="A73" s="223">
        <v>67</v>
      </c>
      <c r="B73" s="224" t="s">
        <v>130</v>
      </c>
      <c r="C73" s="262">
        <f>Criteria!C79</f>
        <v>170000</v>
      </c>
      <c r="D73" s="220" t="str">
        <f>IF('data input for RPA'!C75="","",'data input for RPA'!C75)</f>
        <v>Y</v>
      </c>
      <c r="E73" s="220" t="str">
        <f>IF('data input for RPA'!D75="","",'data input for RPA'!D75)</f>
        <v>Y</v>
      </c>
      <c r="F73" s="220">
        <f>IF('data input for RPA'!E75="","",'data input for RPA'!E75)</f>
        <v>2</v>
      </c>
      <c r="G73" s="220">
        <f>IF(D73="","",IF(E73="Y","",'data input for RPA'!F75))</f>
      </c>
      <c r="H73" s="236" t="str">
        <f t="shared" si="8"/>
        <v>All ND MDL&lt;=C, MDL=MEC</v>
      </c>
      <c r="I73" s="264">
        <f t="shared" si="10"/>
        <v>2</v>
      </c>
      <c r="J73" s="220" t="str">
        <f t="shared" si="13"/>
        <v>MEC&lt;C, go to Step 5</v>
      </c>
      <c r="K73" s="340"/>
      <c r="L73" s="220">
        <f>IF('data input for RPA'!I75="N","",'data input for RPA'!I75)</f>
      </c>
      <c r="M73" s="220">
        <f>IF(L73="","",IF('data input for RPA'!J75="Y","Y",""))</f>
      </c>
      <c r="N73" s="295">
        <f>IF(M73="Y",'data input for RPA'!K75,"")</f>
      </c>
      <c r="O73" s="402">
        <f>IF(M73="Y","",IF(L73="Y",'data input for RPA'!L75,""))</f>
      </c>
      <c r="P73" s="344">
        <f t="shared" si="11"/>
      </c>
      <c r="Q73" s="220" t="str">
        <f t="shared" si="12"/>
        <v>No detected value of B, Step 7</v>
      </c>
      <c r="R73" s="350">
        <f>'data input for RPA'!O75</f>
      </c>
      <c r="S73" s="220">
        <f t="shared" si="9"/>
      </c>
      <c r="T73" s="263">
        <f t="shared" si="7"/>
      </c>
      <c r="U73" s="398">
        <f>IF(WQBELs!AO80="","",WQBELs!AO80)</f>
      </c>
      <c r="V73" s="399">
        <f>IF(WQBELs!AP80="","",WQBELs!AP80)</f>
      </c>
    </row>
    <row r="74" spans="1:22" ht="12.75">
      <c r="A74" s="223">
        <v>68</v>
      </c>
      <c r="B74" s="224" t="s">
        <v>131</v>
      </c>
      <c r="C74" s="262">
        <f>Criteria!C80</f>
        <v>5.9</v>
      </c>
      <c r="D74" s="220" t="str">
        <f>IF('data input for RPA'!C76="","",'data input for RPA'!C76)</f>
        <v>Y</v>
      </c>
      <c r="E74" s="220" t="str">
        <f>IF('data input for RPA'!D76="","",'data input for RPA'!D76)</f>
        <v>Y</v>
      </c>
      <c r="F74" s="220">
        <f>IF('data input for RPA'!E76="","",'data input for RPA'!E76)</f>
        <v>1</v>
      </c>
      <c r="G74" s="220">
        <f>IF(D74="","",IF(E74="Y","",'data input for RPA'!F76))</f>
      </c>
      <c r="H74" s="236" t="str">
        <f>IF(C74="No Criteria","No Criteria",IF(E74="Y",IF(F74&gt;C74,"MDL &gt; C, Interim Monitor, Go To Step 5","All ND MDL&lt;=C, MDL=MEC"),IF(D74="Y","","No Effluent Data")))</f>
        <v>All ND MDL&lt;=C, MDL=MEC</v>
      </c>
      <c r="I74" s="264">
        <f t="shared" si="10"/>
        <v>1</v>
      </c>
      <c r="J74" s="220" t="str">
        <f t="shared" si="13"/>
        <v>MEC&lt;C, go to Step 5</v>
      </c>
      <c r="K74" s="340"/>
      <c r="L74" s="220" t="str">
        <f>IF('data input for RPA'!I76="N","",'data input for RPA'!I76)</f>
        <v>Y</v>
      </c>
      <c r="M74" s="220" t="str">
        <f>IF(L74="","",IF('data input for RPA'!J76="Y","Y",""))</f>
        <v>Y</v>
      </c>
      <c r="N74" s="295">
        <f>IF(M74="Y",'data input for RPA'!K76,"")</f>
        <v>0.5</v>
      </c>
      <c r="O74" s="402">
        <f>IF(M74="Y","",IF(L74="Y",'data input for RPA'!L76,""))</f>
      </c>
      <c r="P74" s="344" t="b">
        <f t="shared" si="11"/>
        <v>0</v>
      </c>
      <c r="Q74" s="220" t="str">
        <f t="shared" si="12"/>
        <v>No detected value of B, Step 7</v>
      </c>
      <c r="R74" s="350">
        <f>'data input for RPA'!O76</f>
      </c>
      <c r="S74" s="220">
        <f t="shared" si="9"/>
      </c>
      <c r="T74" s="263">
        <f t="shared" si="7"/>
      </c>
      <c r="U74" s="398">
        <f>IF(WQBELs!AO81="","",WQBELs!AO81)</f>
      </c>
      <c r="V74" s="399">
        <f>IF(WQBELs!AP81="","",WQBELs!AP81)</f>
      </c>
    </row>
    <row r="75" spans="1:22" ht="12.75">
      <c r="A75" s="223">
        <v>69</v>
      </c>
      <c r="B75" s="224" t="s">
        <v>132</v>
      </c>
      <c r="C75" s="262" t="str">
        <f>Criteria!C81</f>
        <v>No Criteria</v>
      </c>
      <c r="D75" s="220" t="str">
        <f>IF('data input for RPA'!C77="","",'data input for RPA'!C77)</f>
        <v>Y</v>
      </c>
      <c r="E75" s="220" t="str">
        <f>IF('data input for RPA'!D77="","",'data input for RPA'!D77)</f>
        <v>Y</v>
      </c>
      <c r="F75" s="220">
        <f>IF('data input for RPA'!E77="","",'data input for RPA'!E77)</f>
        <v>5</v>
      </c>
      <c r="G75" s="220">
        <f>IF(D75="","",IF(E75="Y","",'data input for RPA'!F77))</f>
      </c>
      <c r="H75" s="236" t="str">
        <f t="shared" si="8"/>
        <v>No Criteria</v>
      </c>
      <c r="I75" s="264">
        <f t="shared" si="10"/>
        <v>5</v>
      </c>
      <c r="J75" s="220" t="str">
        <f t="shared" si="13"/>
        <v>No Criteria</v>
      </c>
      <c r="K75" s="340"/>
      <c r="L75" s="220" t="str">
        <f>IF('data input for RPA'!I77="N","",'data input for RPA'!I77)</f>
        <v>Y</v>
      </c>
      <c r="M75" s="220" t="str">
        <f>IF(L75="","",IF('data input for RPA'!J77="Y","Y",""))</f>
        <v>Y</v>
      </c>
      <c r="N75" s="295">
        <f>IF(M75="Y",'data input for RPA'!K77,"")</f>
        <v>0.23</v>
      </c>
      <c r="O75" s="402">
        <f>IF(M75="Y","",IF(L75="Y",'data input for RPA'!L77,""))</f>
      </c>
      <c r="P75" s="344" t="b">
        <f t="shared" si="11"/>
        <v>0</v>
      </c>
      <c r="Q75" s="220" t="str">
        <f t="shared" si="12"/>
        <v>No Criteria</v>
      </c>
      <c r="R75" s="350" t="str">
        <f>'data input for RPA'!O77</f>
        <v>No Criteria</v>
      </c>
      <c r="S75" s="220">
        <f t="shared" si="9"/>
      </c>
      <c r="T75" s="263" t="str">
        <f t="shared" si="7"/>
        <v>Uo - No Criteria</v>
      </c>
      <c r="U75" s="398">
        <f>IF(WQBELs!AO82="","",WQBELs!AO82)</f>
      </c>
      <c r="V75" s="399">
        <f>IF(WQBELs!AP82="","",WQBELs!AP82)</f>
      </c>
    </row>
    <row r="76" spans="1:22" ht="12.75">
      <c r="A76" s="223">
        <v>70</v>
      </c>
      <c r="B76" s="224" t="s">
        <v>133</v>
      </c>
      <c r="C76" s="262">
        <f>Criteria!C82</f>
        <v>5200</v>
      </c>
      <c r="D76" s="220" t="str">
        <f>IF('data input for RPA'!C78="","",'data input for RPA'!C78)</f>
        <v>Y</v>
      </c>
      <c r="E76" s="220" t="str">
        <f>IF('data input for RPA'!D78="","",'data input for RPA'!D78)</f>
        <v>Y</v>
      </c>
      <c r="F76" s="220">
        <f>IF('data input for RPA'!E78="","",'data input for RPA'!E78)</f>
        <v>2</v>
      </c>
      <c r="G76" s="220">
        <f>IF(D76="","",IF(E76="Y","",'data input for RPA'!F78))</f>
      </c>
      <c r="H76" s="236" t="str">
        <f t="shared" si="8"/>
        <v>All ND MDL&lt;=C, MDL=MEC</v>
      </c>
      <c r="I76" s="264">
        <f t="shared" si="10"/>
        <v>2</v>
      </c>
      <c r="J76" s="220" t="str">
        <f t="shared" si="13"/>
        <v>MEC&lt;C, go to Step 5</v>
      </c>
      <c r="K76" s="340"/>
      <c r="L76" s="220" t="str">
        <f>IF('data input for RPA'!I78="N","",'data input for RPA'!I78)</f>
        <v>Y</v>
      </c>
      <c r="M76" s="220" t="str">
        <f>IF(L76="","",IF('data input for RPA'!J78="Y","Y",""))</f>
        <v>Y</v>
      </c>
      <c r="N76" s="295">
        <f>IF(M76="Y",'data input for RPA'!K78,"")</f>
        <v>0.52</v>
      </c>
      <c r="O76" s="402">
        <f>IF(M76="Y","",IF(L76="Y",'data input for RPA'!L78,""))</f>
      </c>
      <c r="P76" s="344" t="b">
        <f t="shared" si="11"/>
        <v>0</v>
      </c>
      <c r="Q76" s="220" t="str">
        <f t="shared" si="12"/>
        <v>No detected value of B, Step 7</v>
      </c>
      <c r="R76" s="350">
        <f>'data input for RPA'!O78</f>
      </c>
      <c r="S76" s="220">
        <f t="shared" si="9"/>
      </c>
      <c r="T76" s="263">
        <f t="shared" si="7"/>
      </c>
      <c r="U76" s="398">
        <f>IF(WQBELs!AO83="","",WQBELs!AO83)</f>
      </c>
      <c r="V76" s="399">
        <f>IF(WQBELs!AP83="","",WQBELs!AP83)</f>
      </c>
    </row>
    <row r="77" spans="1:22" ht="12.75">
      <c r="A77" s="223">
        <v>71</v>
      </c>
      <c r="B77" s="224" t="s">
        <v>134</v>
      </c>
      <c r="C77" s="262">
        <f>Criteria!C83</f>
        <v>4300</v>
      </c>
      <c r="D77" s="220" t="str">
        <f>IF('data input for RPA'!C79="","",'data input for RPA'!C79)</f>
        <v>Y</v>
      </c>
      <c r="E77" s="220" t="str">
        <f>IF('data input for RPA'!D79="","",'data input for RPA'!D79)</f>
        <v>Y</v>
      </c>
      <c r="F77" s="220">
        <f>IF('data input for RPA'!E79="","",'data input for RPA'!E79)</f>
        <v>2</v>
      </c>
      <c r="G77" s="220">
        <f>IF(D77="","",IF(E77="Y","",'data input for RPA'!F79))</f>
      </c>
      <c r="H77" s="236" t="str">
        <f>IF(C77="No Criteria","No Criteria",IF(E77="Y",IF(F77&gt;C77,"MDL &gt; C, Interim Monitor, Go To Step 5","All ND MDL&lt;=C, MDL=MEC"),IF(D77="Y","","No Effluent Data")))</f>
        <v>All ND MDL&lt;=C, MDL=MEC</v>
      </c>
      <c r="I77" s="264">
        <f t="shared" si="10"/>
        <v>2</v>
      </c>
      <c r="J77" s="220" t="str">
        <f t="shared" si="13"/>
        <v>MEC&lt;C, go to Step 5</v>
      </c>
      <c r="K77" s="340"/>
      <c r="L77" s="220" t="str">
        <f>IF('data input for RPA'!I79="N","",'data input for RPA'!I79)</f>
        <v>Y</v>
      </c>
      <c r="M77" s="220" t="str">
        <f>IF(L77="","",IF('data input for RPA'!J79="Y","Y",""))</f>
        <v>Y</v>
      </c>
      <c r="N77" s="295">
        <f>IF(M77="Y",'data input for RPA'!K79,"")</f>
        <v>0.3</v>
      </c>
      <c r="O77" s="402">
        <f>IF(M77="Y","",IF(L77="Y",'data input for RPA'!L79,""))</f>
      </c>
      <c r="P77" s="344" t="b">
        <f t="shared" si="11"/>
        <v>0</v>
      </c>
      <c r="Q77" s="220" t="str">
        <f t="shared" si="12"/>
        <v>No detected value of B, Step 7</v>
      </c>
      <c r="R77" s="350">
        <f>'data input for RPA'!O79</f>
      </c>
      <c r="S77" s="220">
        <f t="shared" si="9"/>
      </c>
      <c r="T77" s="263">
        <f t="shared" si="7"/>
      </c>
      <c r="U77" s="398">
        <f>IF(WQBELs!AO84="","",WQBELs!AO84)</f>
      </c>
      <c r="V77" s="399">
        <f>IF(WQBELs!AP84="","",WQBELs!AP84)</f>
      </c>
    </row>
    <row r="78" spans="1:22" ht="12.75">
      <c r="A78" s="223">
        <v>72</v>
      </c>
      <c r="B78" s="224" t="s">
        <v>135</v>
      </c>
      <c r="C78" s="262" t="str">
        <f>Criteria!C84</f>
        <v>No Criteria</v>
      </c>
      <c r="D78" s="220" t="str">
        <f>IF('data input for RPA'!C80="","",'data input for RPA'!C80)</f>
        <v>Y</v>
      </c>
      <c r="E78" s="220" t="str">
        <f>IF('data input for RPA'!D80="","",'data input for RPA'!D80)</f>
        <v>Y</v>
      </c>
      <c r="F78" s="220">
        <f>IF('data input for RPA'!E80="","",'data input for RPA'!E80)</f>
        <v>5</v>
      </c>
      <c r="G78" s="220">
        <f>IF(D78="","",IF(E78="Y","",'data input for RPA'!F80))</f>
      </c>
      <c r="H78" s="236" t="str">
        <f t="shared" si="8"/>
        <v>No Criteria</v>
      </c>
      <c r="I78" s="264">
        <f t="shared" si="10"/>
        <v>5</v>
      </c>
      <c r="J78" s="220" t="str">
        <f t="shared" si="13"/>
        <v>No Criteria</v>
      </c>
      <c r="K78" s="340"/>
      <c r="L78" s="220" t="str">
        <f>IF('data input for RPA'!I80="N","",'data input for RPA'!I80)</f>
        <v>Y</v>
      </c>
      <c r="M78" s="220" t="str">
        <f>IF(L78="","",IF('data input for RPA'!J80="Y","Y",""))</f>
        <v>Y</v>
      </c>
      <c r="N78" s="295">
        <f>IF(M78="Y",'data input for RPA'!K80,"")</f>
        <v>0.3</v>
      </c>
      <c r="O78" s="402">
        <f>IF(M78="Y","",IF(L78="Y",'data input for RPA'!L80,""))</f>
      </c>
      <c r="P78" s="344" t="b">
        <f t="shared" si="11"/>
        <v>0</v>
      </c>
      <c r="Q78" s="220" t="str">
        <f t="shared" si="12"/>
        <v>No Criteria</v>
      </c>
      <c r="R78" s="350" t="str">
        <f>'data input for RPA'!O80</f>
        <v>No Criteria</v>
      </c>
      <c r="S78" s="220">
        <f t="shared" si="9"/>
      </c>
      <c r="T78" s="263" t="str">
        <f t="shared" si="7"/>
        <v>Uo - No Criteria</v>
      </c>
      <c r="U78" s="398">
        <f>IF(WQBELs!AO85="","",WQBELs!AO85)</f>
      </c>
      <c r="V78" s="399">
        <f>IF(WQBELs!AP85="","",WQBELs!AP85)</f>
      </c>
    </row>
    <row r="79" spans="1:22" ht="12.75">
      <c r="A79" s="223">
        <v>73</v>
      </c>
      <c r="B79" s="224" t="s">
        <v>136</v>
      </c>
      <c r="C79" s="262">
        <f>Criteria!C85</f>
        <v>0.049</v>
      </c>
      <c r="D79" s="220" t="str">
        <f>IF('data input for RPA'!C81="","",'data input for RPA'!C81)</f>
        <v>Y</v>
      </c>
      <c r="E79" s="220" t="str">
        <f>IF('data input for RPA'!D81="","",'data input for RPA'!D81)</f>
        <v>Y</v>
      </c>
      <c r="F79" s="220">
        <f>IF('data input for RPA'!E81="","",'data input for RPA'!E81)</f>
        <v>0.3</v>
      </c>
      <c r="G79" s="220">
        <f>IF(D79="","",IF(E79="Y","",'data input for RPA'!F81))</f>
      </c>
      <c r="H79" s="236" t="str">
        <f t="shared" si="8"/>
        <v>MDL &gt; C, Interim Monitor, Go To Step 5</v>
      </c>
      <c r="I79" s="264">
        <f t="shared" si="10"/>
      </c>
      <c r="J79" s="220">
        <f t="shared" si="13"/>
      </c>
      <c r="K79" s="340"/>
      <c r="L79" s="220" t="str">
        <f>IF('data input for RPA'!I81="N","",'data input for RPA'!I81)</f>
        <v>Y</v>
      </c>
      <c r="M79" s="220">
        <f>IF(L79="","",IF('data input for RPA'!J81="Y","Y",""))</f>
      </c>
      <c r="N79" s="295">
        <f>IF(M79="Y",'data input for RPA'!K81,"")</f>
      </c>
      <c r="O79" s="402">
        <f>IF(M79="Y","",IF(L79="Y",'data input for RPA'!L81,""))</f>
        <v>0.0024</v>
      </c>
      <c r="P79" s="344">
        <f t="shared" si="11"/>
      </c>
      <c r="Q79" s="220" t="str">
        <f t="shared" si="12"/>
        <v>B&lt;C, Step 7</v>
      </c>
      <c r="R79" s="350">
        <f>'data input for RPA'!O81</f>
      </c>
      <c r="S79" s="220">
        <f t="shared" si="9"/>
      </c>
      <c r="T79" s="263" t="str">
        <f t="shared" si="7"/>
        <v>Effluent MDL &gt; C, Interim Monitor</v>
      </c>
      <c r="U79" s="398">
        <f>IF(WQBELs!AO86="","",WQBELs!AO86)</f>
      </c>
      <c r="V79" s="399">
        <f>IF(WQBELs!AP86="","",WQBELs!AP86)</f>
      </c>
    </row>
    <row r="80" spans="1:22" ht="12.75">
      <c r="A80" s="223">
        <v>74</v>
      </c>
      <c r="B80" s="224" t="s">
        <v>137</v>
      </c>
      <c r="C80" s="262">
        <f>Criteria!C86</f>
        <v>0.049</v>
      </c>
      <c r="D80" s="220" t="str">
        <f>IF('data input for RPA'!C82="","",'data input for RPA'!C82)</f>
        <v>Y</v>
      </c>
      <c r="E80" s="220" t="str">
        <f>IF('data input for RPA'!D82="","",'data input for RPA'!D82)</f>
        <v>Y</v>
      </c>
      <c r="F80" s="220">
        <f>IF('data input for RPA'!E82="","",'data input for RPA'!E82)</f>
        <v>0.1</v>
      </c>
      <c r="G80" s="220">
        <f>IF(D80="","",IF(E80="Y","",'data input for RPA'!F82))</f>
      </c>
      <c r="H80" s="236" t="str">
        <f t="shared" si="8"/>
        <v>MDL &gt; C, Interim Monitor, Go To Step 5</v>
      </c>
      <c r="I80" s="264">
        <f t="shared" si="10"/>
      </c>
      <c r="J80" s="220">
        <f t="shared" si="13"/>
      </c>
      <c r="K80" s="340"/>
      <c r="L80" s="220" t="str">
        <f>IF('data input for RPA'!I82="N","",'data input for RPA'!I82)</f>
        <v>Y</v>
      </c>
      <c r="M80" s="220">
        <f>IF(L80="","",IF('data input for RPA'!J82="Y","Y",""))</f>
      </c>
      <c r="N80" s="295">
        <f>IF(M80="Y",'data input for RPA'!K82,"")</f>
      </c>
      <c r="O80" s="402">
        <f>IF(M80="Y","",IF(L80="Y",'data input for RPA'!L82,""))</f>
        <v>0.00064</v>
      </c>
      <c r="P80" s="344">
        <f t="shared" si="11"/>
      </c>
      <c r="Q80" s="220" t="str">
        <f t="shared" si="12"/>
        <v>B&lt;C, Step 7</v>
      </c>
      <c r="R80" s="350">
        <f>'data input for RPA'!O82</f>
      </c>
      <c r="S80" s="220">
        <f t="shared" si="9"/>
      </c>
      <c r="T80" s="263" t="str">
        <f t="shared" si="7"/>
        <v>Effluent MDL &gt; C, Interim Monitor</v>
      </c>
      <c r="U80" s="398">
        <f>IF(WQBELs!AO87="","",WQBELs!AO87)</f>
      </c>
      <c r="V80" s="399">
        <f>IF(WQBELs!AP87="","",WQBELs!AP87)</f>
      </c>
    </row>
    <row r="81" spans="1:22" ht="12.75">
      <c r="A81" s="223">
        <v>75</v>
      </c>
      <c r="B81" s="224" t="s">
        <v>138</v>
      </c>
      <c r="C81" s="262">
        <f>Criteria!C87</f>
        <v>17000</v>
      </c>
      <c r="D81" s="220" t="str">
        <f>IF('data input for RPA'!C83="","",'data input for RPA'!C83)</f>
        <v>N</v>
      </c>
      <c r="E81" s="220">
        <f>IF('data input for RPA'!D83="","",'data input for RPA'!D83)</f>
      </c>
      <c r="F81" s="220">
        <f>IF('data input for RPA'!E83="","",'data input for RPA'!E83)</f>
      </c>
      <c r="G81" s="220">
        <f>IF(D81="","",IF(E81="Y","",'data input for RPA'!F83))</f>
        <v>0</v>
      </c>
      <c r="H81" s="236" t="str">
        <f t="shared" si="8"/>
        <v>No Effluent Data</v>
      </c>
      <c r="I81" s="264">
        <f t="shared" si="10"/>
      </c>
      <c r="J81" s="220">
        <f t="shared" si="13"/>
      </c>
      <c r="K81" s="340"/>
      <c r="L81" s="220" t="str">
        <f>IF('data input for RPA'!I83="N","",'data input for RPA'!I83)</f>
        <v>Y</v>
      </c>
      <c r="M81" s="220" t="str">
        <f>IF(L81="","",IF('data input for RPA'!J83="Y","Y",""))</f>
        <v>Y</v>
      </c>
      <c r="N81" s="295">
        <f>IF(M81="Y",'data input for RPA'!K83,"")</f>
        <v>0.8</v>
      </c>
      <c r="O81" s="402">
        <f>IF(M81="Y","",IF(L81="Y",'data input for RPA'!L83,""))</f>
      </c>
      <c r="P81" s="344" t="b">
        <f t="shared" si="11"/>
        <v>0</v>
      </c>
      <c r="Q81" s="220" t="str">
        <f t="shared" si="12"/>
        <v>No detected value of B, Step 7</v>
      </c>
      <c r="R81" s="350">
        <f>'data input for RPA'!O83</f>
      </c>
      <c r="S81" s="220">
        <f t="shared" si="9"/>
      </c>
      <c r="T81" s="263">
        <f t="shared" si="7"/>
      </c>
      <c r="U81" s="398">
        <f>IF(WQBELs!AO88="","",WQBELs!AO88)</f>
      </c>
      <c r="V81" s="399">
        <f>IF(WQBELs!AP88="","",WQBELs!AP88)</f>
      </c>
    </row>
    <row r="82" spans="1:22" ht="12.75">
      <c r="A82" s="223">
        <v>76</v>
      </c>
      <c r="B82" s="224" t="s">
        <v>139</v>
      </c>
      <c r="C82" s="262">
        <f>Criteria!C88</f>
        <v>2600</v>
      </c>
      <c r="D82" s="220" t="str">
        <f>IF('data input for RPA'!C84="","",'data input for RPA'!C84)</f>
        <v>Y</v>
      </c>
      <c r="E82" s="220" t="str">
        <f>IF('data input for RPA'!D84="","",'data input for RPA'!D84)</f>
        <v>Y</v>
      </c>
      <c r="F82" s="220">
        <f>IF('data input for RPA'!E84="","",'data input for RPA'!E84)</f>
        <v>0.5</v>
      </c>
      <c r="G82" s="220">
        <f>IF(D82="","",IF(E82="Y","",'data input for RPA'!F84))</f>
      </c>
      <c r="H82" s="236" t="str">
        <f t="shared" si="8"/>
        <v>All ND MDL&lt;=C, MDL=MEC</v>
      </c>
      <c r="I82" s="264">
        <f t="shared" si="10"/>
        <v>0.5</v>
      </c>
      <c r="J82" s="220" t="str">
        <f t="shared" si="13"/>
        <v>MEC&lt;C, go to Step 5</v>
      </c>
      <c r="K82" s="340"/>
      <c r="L82" s="220" t="str">
        <f>IF('data input for RPA'!I84="N","",'data input for RPA'!I84)</f>
        <v>Y</v>
      </c>
      <c r="M82" s="220" t="str">
        <f>IF(L82="","",IF('data input for RPA'!J84="Y","Y",""))</f>
        <v>Y</v>
      </c>
      <c r="N82" s="295">
        <f>IF(M82="Y",'data input for RPA'!K84,"")</f>
        <v>0.8</v>
      </c>
      <c r="O82" s="402">
        <f>IF(M82="Y","",IF(L82="Y",'data input for RPA'!L84,""))</f>
      </c>
      <c r="P82" s="344" t="b">
        <f t="shared" si="11"/>
        <v>0</v>
      </c>
      <c r="Q82" s="220" t="str">
        <f t="shared" si="12"/>
        <v>No detected value of B, Step 7</v>
      </c>
      <c r="R82" s="350">
        <f>'data input for RPA'!O84</f>
      </c>
      <c r="S82" s="220">
        <f t="shared" si="9"/>
      </c>
      <c r="T82" s="263">
        <f t="shared" si="7"/>
      </c>
      <c r="U82" s="398">
        <f>IF(WQBELs!AO89="","",WQBELs!AO89)</f>
      </c>
      <c r="V82" s="399">
        <f>IF(WQBELs!AP89="","",WQBELs!AP89)</f>
      </c>
    </row>
    <row r="83" spans="1:22" ht="12.75">
      <c r="A83" s="223">
        <v>77</v>
      </c>
      <c r="B83" s="224" t="s">
        <v>140</v>
      </c>
      <c r="C83" s="262">
        <f>Criteria!C89</f>
        <v>2600</v>
      </c>
      <c r="D83" s="220" t="str">
        <f>IF('data input for RPA'!C85="","",'data input for RPA'!C85)</f>
        <v>Y</v>
      </c>
      <c r="E83" s="220" t="str">
        <f>IF('data input for RPA'!D85="","",'data input for RPA'!D85)</f>
        <v>Y</v>
      </c>
      <c r="F83" s="220">
        <f>IF('data input for RPA'!E85="","",'data input for RPA'!E85)</f>
        <v>0.5</v>
      </c>
      <c r="G83" s="220">
        <f>IF(D83="","",IF(E83="Y","",'data input for RPA'!F85))</f>
      </c>
      <c r="H83" s="236" t="str">
        <f t="shared" si="8"/>
        <v>All ND MDL&lt;=C, MDL=MEC</v>
      </c>
      <c r="I83" s="264">
        <f t="shared" si="10"/>
        <v>0.5</v>
      </c>
      <c r="J83" s="220" t="str">
        <f t="shared" si="13"/>
        <v>MEC&lt;C, go to Step 5</v>
      </c>
      <c r="K83" s="340"/>
      <c r="L83" s="220" t="str">
        <f>IF('data input for RPA'!I85="N","",'data input for RPA'!I85)</f>
        <v>Y</v>
      </c>
      <c r="M83" s="220" t="str">
        <f>IF(L83="","",IF('data input for RPA'!J85="Y","Y",""))</f>
        <v>Y</v>
      </c>
      <c r="N83" s="295">
        <f>IF(M83="Y",'data input for RPA'!K85,"")</f>
        <v>0.8</v>
      </c>
      <c r="O83" s="402">
        <f>IF(M83="Y","",IF(L83="Y",'data input for RPA'!L85,""))</f>
      </c>
      <c r="P83" s="344" t="b">
        <f t="shared" si="11"/>
        <v>0</v>
      </c>
      <c r="Q83" s="220" t="str">
        <f t="shared" si="12"/>
        <v>No detected value of B, Step 7</v>
      </c>
      <c r="R83" s="350">
        <f>'data input for RPA'!O85</f>
      </c>
      <c r="S83" s="220">
        <f t="shared" si="9"/>
      </c>
      <c r="T83" s="263">
        <f t="shared" si="7"/>
      </c>
      <c r="U83" s="398">
        <f>IF(WQBELs!AO90="","",WQBELs!AO90)</f>
      </c>
      <c r="V83" s="399">
        <f>IF(WQBELs!AP90="","",WQBELs!AP90)</f>
      </c>
    </row>
    <row r="84" spans="1:22" ht="12.75">
      <c r="A84" s="223">
        <v>78</v>
      </c>
      <c r="B84" s="224" t="s">
        <v>225</v>
      </c>
      <c r="C84" s="262">
        <f>Criteria!C90</f>
        <v>0.077</v>
      </c>
      <c r="D84" s="220" t="str">
        <f>IF('data input for RPA'!C86="","",'data input for RPA'!C86)</f>
        <v>Y</v>
      </c>
      <c r="E84" s="220" t="str">
        <f>IF('data input for RPA'!D86="","",'data input for RPA'!D86)</f>
        <v>Y</v>
      </c>
      <c r="F84" s="220">
        <f>IF('data input for RPA'!E86="","",'data input for RPA'!E86)</f>
        <v>5</v>
      </c>
      <c r="G84" s="220">
        <f>IF(D84="","",IF(E84="Y","",'data input for RPA'!F86))</f>
      </c>
      <c r="H84" s="236" t="str">
        <f t="shared" si="8"/>
        <v>MDL &gt; C, Interim Monitor, Go To Step 5</v>
      </c>
      <c r="I84" s="264">
        <f t="shared" si="10"/>
      </c>
      <c r="J84" s="220">
        <f t="shared" si="13"/>
      </c>
      <c r="K84" s="340"/>
      <c r="L84" s="220" t="str">
        <f>IF('data input for RPA'!I86="N","",'data input for RPA'!I86)</f>
        <v>Y</v>
      </c>
      <c r="M84" s="220" t="str">
        <f>IF(L84="","",IF('data input for RPA'!J86="Y","Y",""))</f>
        <v>Y</v>
      </c>
      <c r="N84" s="295">
        <f>IF(M84="Y",'data input for RPA'!K86,"")</f>
        <v>0.001</v>
      </c>
      <c r="O84" s="402">
        <f>IF(M84="Y","",IF(L84="Y",'data input for RPA'!L86,""))</f>
      </c>
      <c r="P84" s="344" t="b">
        <f t="shared" si="11"/>
        <v>0</v>
      </c>
      <c r="Q84" s="220" t="str">
        <f t="shared" si="12"/>
        <v>No detected value of B, Step 7</v>
      </c>
      <c r="R84" s="350">
        <f>'data input for RPA'!O86</f>
      </c>
      <c r="S84" s="220">
        <f t="shared" si="9"/>
      </c>
      <c r="T84" s="263" t="str">
        <f t="shared" si="7"/>
        <v>Effluent MDL &gt; C, Interim Monitor</v>
      </c>
      <c r="U84" s="398">
        <f>IF(WQBELs!AO91="","",WQBELs!AO91)</f>
      </c>
      <c r="V84" s="399">
        <f>IF(WQBELs!AP91="","",WQBELs!AP91)</f>
      </c>
    </row>
    <row r="85" spans="1:22" ht="12.75">
      <c r="A85" s="223">
        <v>79</v>
      </c>
      <c r="B85" s="224" t="s">
        <v>142</v>
      </c>
      <c r="C85" s="262">
        <f>Criteria!C91</f>
        <v>120000</v>
      </c>
      <c r="D85" s="220" t="str">
        <f>IF('data input for RPA'!C87="","",'data input for RPA'!C87)</f>
        <v>Y</v>
      </c>
      <c r="E85" s="220" t="str">
        <f>IF('data input for RPA'!D87="","",'data input for RPA'!D87)</f>
        <v>Y</v>
      </c>
      <c r="F85" s="220">
        <f>IF('data input for RPA'!E87="","",'data input for RPA'!E87)</f>
        <v>2</v>
      </c>
      <c r="G85" s="220">
        <f>IF(D85="","",IF(E85="Y","",'data input for RPA'!F87))</f>
      </c>
      <c r="H85" s="236" t="str">
        <f t="shared" si="8"/>
        <v>All ND MDL&lt;=C, MDL=MEC</v>
      </c>
      <c r="I85" s="264">
        <f t="shared" si="10"/>
        <v>2</v>
      </c>
      <c r="J85" s="220" t="str">
        <f t="shared" si="13"/>
        <v>MEC&lt;C, go to Step 5</v>
      </c>
      <c r="K85" s="340"/>
      <c r="L85" s="220" t="str">
        <f>IF('data input for RPA'!I87="N","",'data input for RPA'!I87)</f>
        <v>Y</v>
      </c>
      <c r="M85" s="220" t="str">
        <f>IF(L85="","",IF('data input for RPA'!J87="Y","Y",""))</f>
        <v>Y</v>
      </c>
      <c r="N85" s="295">
        <f>IF(M85="Y",'data input for RPA'!K87,"")</f>
        <v>0.24</v>
      </c>
      <c r="O85" s="402">
        <f>IF(M85="Y","",IF(L85="Y",'data input for RPA'!L87,""))</f>
      </c>
      <c r="P85" s="344" t="b">
        <f t="shared" si="11"/>
        <v>0</v>
      </c>
      <c r="Q85" s="220" t="str">
        <f t="shared" si="12"/>
        <v>No detected value of B, Step 7</v>
      </c>
      <c r="R85" s="350">
        <f>'data input for RPA'!O87</f>
      </c>
      <c r="S85" s="220">
        <f t="shared" si="9"/>
      </c>
      <c r="T85" s="263">
        <f t="shared" si="7"/>
      </c>
      <c r="U85" s="398">
        <f>IF(WQBELs!AO92="","",WQBELs!AO92)</f>
      </c>
      <c r="V85" s="399">
        <f>IF(WQBELs!AP92="","",WQBELs!AP92)</f>
      </c>
    </row>
    <row r="86" spans="1:22" ht="12.75">
      <c r="A86" s="223">
        <v>80</v>
      </c>
      <c r="B86" s="224" t="s">
        <v>143</v>
      </c>
      <c r="C86" s="262">
        <f>Criteria!C92</f>
        <v>2900000</v>
      </c>
      <c r="D86" s="220" t="str">
        <f>IF('data input for RPA'!C88="","",'data input for RPA'!C88)</f>
        <v>Y</v>
      </c>
      <c r="E86" s="220" t="str">
        <f>IF('data input for RPA'!D88="","",'data input for RPA'!D88)</f>
        <v>Y</v>
      </c>
      <c r="F86" s="220">
        <f>IF('data input for RPA'!E88="","",'data input for RPA'!E88)</f>
        <v>2</v>
      </c>
      <c r="G86" s="220">
        <f>IF(D86="","",IF(E86="Y","",'data input for RPA'!F88))</f>
      </c>
      <c r="H86" s="236" t="str">
        <f t="shared" si="8"/>
        <v>All ND MDL&lt;=C, MDL=MEC</v>
      </c>
      <c r="I86" s="264">
        <f t="shared" si="10"/>
        <v>2</v>
      </c>
      <c r="J86" s="220" t="str">
        <f t="shared" si="13"/>
        <v>MEC&lt;C, go to Step 5</v>
      </c>
      <c r="K86" s="340"/>
      <c r="L86" s="220" t="str">
        <f>IF('data input for RPA'!I88="N","",'data input for RPA'!I88)</f>
        <v>Y</v>
      </c>
      <c r="M86" s="220" t="str">
        <f>IF(L86="","",IF('data input for RPA'!J88="Y","Y",""))</f>
        <v>Y</v>
      </c>
      <c r="N86" s="295">
        <f>IF(M86="Y",'data input for RPA'!K88,"")</f>
        <v>0.24</v>
      </c>
      <c r="O86" s="402">
        <f>IF(M86="Y","",IF(L86="Y",'data input for RPA'!L88,""))</f>
      </c>
      <c r="P86" s="344" t="b">
        <f t="shared" si="11"/>
        <v>0</v>
      </c>
      <c r="Q86" s="220" t="str">
        <f t="shared" si="12"/>
        <v>No detected value of B, Step 7</v>
      </c>
      <c r="R86" s="350">
        <f>'data input for RPA'!O88</f>
      </c>
      <c r="S86" s="220">
        <f t="shared" si="9"/>
      </c>
      <c r="T86" s="263">
        <f t="shared" si="7"/>
      </c>
      <c r="U86" s="398">
        <f>IF(WQBELs!AO93="","",WQBELs!AO93)</f>
      </c>
      <c r="V86" s="399">
        <f>IF(WQBELs!AP93="","",WQBELs!AP93)</f>
      </c>
    </row>
    <row r="87" spans="1:22" ht="12.75">
      <c r="A87" s="223">
        <v>81</v>
      </c>
      <c r="B87" s="224" t="s">
        <v>144</v>
      </c>
      <c r="C87" s="262">
        <f>Criteria!C93</f>
        <v>12000</v>
      </c>
      <c r="D87" s="220" t="str">
        <f>IF('data input for RPA'!C89="","",'data input for RPA'!C89)</f>
        <v>Y</v>
      </c>
      <c r="E87" s="220" t="str">
        <f>IF('data input for RPA'!D89="","",'data input for RPA'!D89)</f>
        <v>Y</v>
      </c>
      <c r="F87" s="220">
        <f>IF('data input for RPA'!E89="","",'data input for RPA'!E89)</f>
        <v>5</v>
      </c>
      <c r="G87" s="220">
        <f>IF(D87="","",IF(E87="Y","",'data input for RPA'!F89))</f>
      </c>
      <c r="H87" s="236" t="str">
        <f t="shared" si="8"/>
        <v>All ND MDL&lt;=C, MDL=MEC</v>
      </c>
      <c r="I87" s="264">
        <f t="shared" si="10"/>
        <v>5</v>
      </c>
      <c r="J87" s="220" t="str">
        <f t="shared" si="13"/>
        <v>MEC&lt;C, go to Step 5</v>
      </c>
      <c r="K87" s="340"/>
      <c r="L87" s="220" t="str">
        <f>IF('data input for RPA'!I89="N","",'data input for RPA'!I89)</f>
        <v>Y</v>
      </c>
      <c r="M87" s="220" t="str">
        <f>IF(L87="","",IF('data input for RPA'!J89="Y","Y",""))</f>
        <v>Y</v>
      </c>
      <c r="N87" s="295">
        <f>IF(M87="Y",'data input for RPA'!K89,"")</f>
        <v>0.5</v>
      </c>
      <c r="O87" s="402">
        <f>IF(M87="Y","",IF(L87="Y",'data input for RPA'!L89,""))</f>
      </c>
      <c r="P87" s="344" t="b">
        <f t="shared" si="11"/>
        <v>0</v>
      </c>
      <c r="Q87" s="220" t="str">
        <f t="shared" si="12"/>
        <v>No detected value of B, Step 7</v>
      </c>
      <c r="R87" s="350">
        <f>'data input for RPA'!O89</f>
      </c>
      <c r="S87" s="220">
        <f t="shared" si="9"/>
      </c>
      <c r="T87" s="263">
        <f aca="true" t="shared" si="14" ref="T87:T126">IF(C87="No Criteria","Uo - No Criteria",IF(J87="Y","MEC =&gt; C  ["&amp;TEXT(I87,"0.000000")&amp;" ug/l  vs "&amp;TEXT(C87,"0.000000")&amp;" ug/l ]",IF(Q87="Y","B  &gt; C  ["&amp;TEXT(O87,"0.000000")&amp;" ug/l vs "&amp;TEXT(C87,"0.000000")&amp;"ug/l]",IF(R87="Y","RP by Trigger III and Staff BPJ",IF(D87="",IF(L87="","Ud, No effluent data, no background data","Ud-No Effluent Data"),IF(H87="MDL &gt; C, Interim Monitor, Go To Step 5","Effluent MDL &gt; C, Interim Monitor",""))))))</f>
      </c>
      <c r="U87" s="398">
        <f>IF(WQBELs!AO94="","",WQBELs!AO94)</f>
      </c>
      <c r="V87" s="399">
        <f>IF(WQBELs!AP94="","",WQBELs!AP94)</f>
      </c>
    </row>
    <row r="88" spans="1:22" ht="12.75">
      <c r="A88" s="223">
        <v>82</v>
      </c>
      <c r="B88" s="224" t="s">
        <v>145</v>
      </c>
      <c r="C88" s="262">
        <f>Criteria!C94</f>
        <v>9.1</v>
      </c>
      <c r="D88" s="220" t="str">
        <f>IF('data input for RPA'!C90="","",'data input for RPA'!C90)</f>
        <v>Y</v>
      </c>
      <c r="E88" s="220" t="str">
        <f>IF('data input for RPA'!D90="","",'data input for RPA'!D90)</f>
        <v>Y</v>
      </c>
      <c r="F88" s="220">
        <f>IF('data input for RPA'!E90="","",'data input for RPA'!E90)</f>
        <v>5</v>
      </c>
      <c r="G88" s="220">
        <f>IF(D88="","",IF(E88="Y","",'data input for RPA'!F90))</f>
      </c>
      <c r="H88" s="236" t="str">
        <f t="shared" si="8"/>
        <v>All ND MDL&lt;=C, MDL=MEC</v>
      </c>
      <c r="I88" s="264">
        <f t="shared" si="10"/>
        <v>5</v>
      </c>
      <c r="J88" s="220" t="str">
        <f t="shared" si="13"/>
        <v>MEC&lt;C, go to Step 5</v>
      </c>
      <c r="K88" s="340"/>
      <c r="L88" s="220" t="str">
        <f>IF('data input for RPA'!I90="N","",'data input for RPA'!I90)</f>
        <v>Y</v>
      </c>
      <c r="M88" s="220" t="str">
        <f>IF(L88="","",IF('data input for RPA'!J90="Y","Y",""))</f>
        <v>Y</v>
      </c>
      <c r="N88" s="295">
        <f>IF(M88="Y",'data input for RPA'!K90,"")</f>
        <v>0.27</v>
      </c>
      <c r="O88" s="402">
        <f>IF(M88="Y","",IF(L88="Y",'data input for RPA'!L90,""))</f>
      </c>
      <c r="P88" s="344" t="b">
        <f t="shared" si="11"/>
        <v>0</v>
      </c>
      <c r="Q88" s="220" t="str">
        <f t="shared" si="12"/>
        <v>No detected value of B, Step 7</v>
      </c>
      <c r="R88" s="350">
        <f>'data input for RPA'!O90</f>
      </c>
      <c r="S88" s="220">
        <f t="shared" si="9"/>
      </c>
      <c r="T88" s="263">
        <f t="shared" si="14"/>
      </c>
      <c r="U88" s="398">
        <f>IF(WQBELs!AO95="","",WQBELs!AO95)</f>
      </c>
      <c r="V88" s="399">
        <f>IF(WQBELs!AP95="","",WQBELs!AP95)</f>
      </c>
    </row>
    <row r="89" spans="1:22" ht="12.75">
      <c r="A89" s="223">
        <v>83</v>
      </c>
      <c r="B89" s="224" t="s">
        <v>146</v>
      </c>
      <c r="C89" s="262" t="str">
        <f>Criteria!C95</f>
        <v>No Criteria</v>
      </c>
      <c r="D89" s="220" t="str">
        <f>IF('data input for RPA'!C91="","",'data input for RPA'!C91)</f>
        <v>Y</v>
      </c>
      <c r="E89" s="220" t="str">
        <f>IF('data input for RPA'!D91="","",'data input for RPA'!D91)</f>
        <v>Y</v>
      </c>
      <c r="F89" s="220">
        <f>IF('data input for RPA'!E91="","",'data input for RPA'!E91)</f>
        <v>5</v>
      </c>
      <c r="G89" s="220">
        <f>IF(D89="","",IF(E89="Y","",'data input for RPA'!F91))</f>
      </c>
      <c r="H89" s="236" t="str">
        <f t="shared" si="8"/>
        <v>No Criteria</v>
      </c>
      <c r="I89" s="264">
        <f t="shared" si="10"/>
        <v>5</v>
      </c>
      <c r="J89" s="220" t="str">
        <f t="shared" si="13"/>
        <v>No Criteria</v>
      </c>
      <c r="K89" s="340"/>
      <c r="L89" s="220" t="str">
        <f>IF('data input for RPA'!I91="N","",'data input for RPA'!I91)</f>
        <v>Y</v>
      </c>
      <c r="M89" s="220" t="str">
        <f>IF(L89="","",IF('data input for RPA'!J91="Y","Y",""))</f>
        <v>Y</v>
      </c>
      <c r="N89" s="295">
        <f>IF(M89="Y",'data input for RPA'!K91,"")</f>
        <v>0.29</v>
      </c>
      <c r="O89" s="402">
        <f>IF(M89="Y","",IF(L89="Y",'data input for RPA'!L91,""))</f>
      </c>
      <c r="P89" s="344" t="b">
        <f t="shared" si="11"/>
        <v>0</v>
      </c>
      <c r="Q89" s="220" t="str">
        <f t="shared" si="12"/>
        <v>No Criteria</v>
      </c>
      <c r="R89" s="350" t="str">
        <f>'data input for RPA'!O91</f>
        <v>No Criteria</v>
      </c>
      <c r="S89" s="220">
        <f t="shared" si="9"/>
      </c>
      <c r="T89" s="263" t="str">
        <f t="shared" si="14"/>
        <v>Uo - No Criteria</v>
      </c>
      <c r="U89" s="398">
        <f>IF(WQBELs!AO96="","",WQBELs!AO96)</f>
      </c>
      <c r="V89" s="399">
        <f>IF(WQBELs!AP96="","",WQBELs!AP96)</f>
      </c>
    </row>
    <row r="90" spans="1:22" ht="12.75">
      <c r="A90" s="223">
        <v>84</v>
      </c>
      <c r="B90" s="224" t="s">
        <v>147</v>
      </c>
      <c r="C90" s="262" t="str">
        <f>Criteria!C96</f>
        <v>No Criteria</v>
      </c>
      <c r="D90" s="220" t="str">
        <f>IF('data input for RPA'!C92="","",'data input for RPA'!C92)</f>
        <v>Y</v>
      </c>
      <c r="E90" s="220" t="str">
        <f>IF('data input for RPA'!D92="","",'data input for RPA'!D92)</f>
        <v>Y</v>
      </c>
      <c r="F90" s="220">
        <f>IF('data input for RPA'!E92="","",'data input for RPA'!E92)</f>
        <v>5</v>
      </c>
      <c r="G90" s="220">
        <f>IF(D90="","",IF(E90="Y","",'data input for RPA'!F92))</f>
      </c>
      <c r="H90" s="236" t="str">
        <f t="shared" si="8"/>
        <v>No Criteria</v>
      </c>
      <c r="I90" s="264">
        <f t="shared" si="10"/>
        <v>5</v>
      </c>
      <c r="J90" s="220" t="str">
        <f t="shared" si="13"/>
        <v>No Criteria</v>
      </c>
      <c r="K90" s="340"/>
      <c r="L90" s="220" t="str">
        <f>IF('data input for RPA'!I92="N","",'data input for RPA'!I92)</f>
        <v>Y</v>
      </c>
      <c r="M90" s="220" t="str">
        <f>IF(L90="","",IF('data input for RPA'!J92="Y","Y",""))</f>
        <v>Y</v>
      </c>
      <c r="N90" s="295">
        <f>IF(M90="Y",'data input for RPA'!K92,"")</f>
        <v>0.38</v>
      </c>
      <c r="O90" s="402">
        <f>IF(M90="Y","",IF(L90="Y",'data input for RPA'!L92,""))</f>
      </c>
      <c r="P90" s="344" t="b">
        <f t="shared" si="11"/>
        <v>0</v>
      </c>
      <c r="Q90" s="220" t="str">
        <f t="shared" si="12"/>
        <v>No Criteria</v>
      </c>
      <c r="R90" s="350" t="str">
        <f>'data input for RPA'!O92</f>
        <v>No Criteria</v>
      </c>
      <c r="S90" s="220">
        <f t="shared" si="9"/>
      </c>
      <c r="T90" s="263" t="str">
        <f t="shared" si="14"/>
        <v>Uo - No Criteria</v>
      </c>
      <c r="U90" s="398">
        <f>IF(WQBELs!AO97="","",WQBELs!AO97)</f>
      </c>
      <c r="V90" s="399">
        <f>IF(WQBELs!AP97="","",WQBELs!AP97)</f>
      </c>
    </row>
    <row r="91" spans="1:22" ht="12.75">
      <c r="A91" s="223">
        <v>85</v>
      </c>
      <c r="B91" s="224" t="s">
        <v>148</v>
      </c>
      <c r="C91" s="262">
        <f>Criteria!C97</f>
        <v>0.54</v>
      </c>
      <c r="D91" s="220" t="str">
        <f>IF('data input for RPA'!C93="","",'data input for RPA'!C93)</f>
        <v>Y</v>
      </c>
      <c r="E91" s="220" t="str">
        <f>IF('data input for RPA'!D93="","",'data input for RPA'!D93)</f>
        <v>Y</v>
      </c>
      <c r="F91" s="220">
        <f>IF('data input for RPA'!E93="","",'data input for RPA'!E93)</f>
        <v>1</v>
      </c>
      <c r="G91" s="220">
        <f>IF(D91="","",IF(E91="Y","",'data input for RPA'!F93))</f>
      </c>
      <c r="H91" s="236" t="str">
        <f t="shared" si="8"/>
        <v>MDL &gt; C, Interim Monitor, Go To Step 5</v>
      </c>
      <c r="I91" s="264">
        <f t="shared" si="10"/>
      </c>
      <c r="J91" s="220">
        <f t="shared" si="13"/>
      </c>
      <c r="K91" s="340"/>
      <c r="L91" s="220" t="str">
        <f>IF('data input for RPA'!I93="N","",'data input for RPA'!I93)</f>
        <v>Y</v>
      </c>
      <c r="M91" s="220">
        <f>IF(L91="","",IF('data input for RPA'!J93="Y","Y",""))</f>
      </c>
      <c r="N91" s="295">
        <f>IF(M91="Y",'data input for RPA'!K93,"")</f>
      </c>
      <c r="O91" s="402">
        <f>IF(M91="Y","",IF(L91="Y",'data input for RPA'!L93,""))</f>
        <v>0.0037</v>
      </c>
      <c r="P91" s="344">
        <f t="shared" si="11"/>
      </c>
      <c r="Q91" s="220" t="str">
        <f t="shared" si="12"/>
        <v>B&lt;C, Step 7</v>
      </c>
      <c r="R91" s="350">
        <f>'data input for RPA'!O93</f>
      </c>
      <c r="S91" s="220">
        <f t="shared" si="9"/>
      </c>
      <c r="T91" s="263" t="str">
        <f t="shared" si="14"/>
        <v>Effluent MDL &gt; C, Interim Monitor</v>
      </c>
      <c r="U91" s="398">
        <f>IF(WQBELs!AO98="","",WQBELs!AO98)</f>
      </c>
      <c r="V91" s="399">
        <f>IF(WQBELs!AP98="","",WQBELs!AP98)</f>
      </c>
    </row>
    <row r="92" spans="1:22" ht="12.75">
      <c r="A92" s="223">
        <v>86</v>
      </c>
      <c r="B92" s="224" t="s">
        <v>149</v>
      </c>
      <c r="C92" s="262">
        <f>Criteria!C98</f>
        <v>370</v>
      </c>
      <c r="D92" s="220" t="str">
        <f>IF('data input for RPA'!C94="","",'data input for RPA'!C94)</f>
        <v>Y</v>
      </c>
      <c r="E92" s="220" t="str">
        <f>IF('data input for RPA'!D94="","",'data input for RPA'!D94)</f>
        <v>Y</v>
      </c>
      <c r="F92" s="220">
        <f>IF('data input for RPA'!E94="","",'data input for RPA'!E94)</f>
        <v>0.05</v>
      </c>
      <c r="G92" s="220">
        <f>IF(D92="","",IF(E92="Y","",'data input for RPA'!F94))</f>
      </c>
      <c r="H92" s="236" t="str">
        <f t="shared" si="8"/>
        <v>All ND MDL&lt;=C, MDL=MEC</v>
      </c>
      <c r="I92" s="264">
        <f t="shared" si="10"/>
        <v>0.05</v>
      </c>
      <c r="J92" s="220" t="str">
        <f t="shared" si="13"/>
        <v>MEC&lt;C, go to Step 5</v>
      </c>
      <c r="K92" s="340"/>
      <c r="L92" s="220" t="str">
        <f>IF('data input for RPA'!I94="N","",'data input for RPA'!I94)</f>
        <v>Y</v>
      </c>
      <c r="M92" s="220">
        <f>IF(L92="","",IF('data input for RPA'!J94="Y","Y",""))</f>
      </c>
      <c r="N92" s="295">
        <f>IF(M92="Y",'data input for RPA'!K94,"")</f>
      </c>
      <c r="O92" s="402">
        <f>IF(M92="Y","",IF(L92="Y",'data input for RPA'!L94,""))</f>
        <v>0.011</v>
      </c>
      <c r="P92" s="344">
        <f t="shared" si="11"/>
      </c>
      <c r="Q92" s="220" t="str">
        <f t="shared" si="12"/>
        <v>B&lt;C, Step 7</v>
      </c>
      <c r="R92" s="350">
        <f>'data input for RPA'!O94</f>
      </c>
      <c r="S92" s="220">
        <f t="shared" si="9"/>
      </c>
      <c r="T92" s="263">
        <f t="shared" si="14"/>
      </c>
      <c r="U92" s="398">
        <f>IF(WQBELs!AO99="","",WQBELs!AO99)</f>
      </c>
      <c r="V92" s="399">
        <f>IF(WQBELs!AP99="","",WQBELs!AP99)</f>
      </c>
    </row>
    <row r="93" spans="1:22" ht="12.75">
      <c r="A93" s="223">
        <v>87</v>
      </c>
      <c r="B93" s="224" t="s">
        <v>150</v>
      </c>
      <c r="C93" s="262">
        <f>Criteria!C99</f>
        <v>14000</v>
      </c>
      <c r="D93" s="220" t="str">
        <f>IF('data input for RPA'!C95="","",'data input for RPA'!C95)</f>
        <v>Y</v>
      </c>
      <c r="E93" s="220" t="str">
        <f>IF('data input for RPA'!D95="","",'data input for RPA'!D95)</f>
        <v>Y</v>
      </c>
      <c r="F93" s="220">
        <f>IF('data input for RPA'!E95="","",'data input for RPA'!E95)</f>
        <v>0.1</v>
      </c>
      <c r="G93" s="220">
        <f>IF(D93="","",IF(E93="Y","",'data input for RPA'!F95))</f>
      </c>
      <c r="H93" s="236" t="str">
        <f t="shared" si="8"/>
        <v>All ND MDL&lt;=C, MDL=MEC</v>
      </c>
      <c r="I93" s="264">
        <f t="shared" si="10"/>
        <v>0.1</v>
      </c>
      <c r="J93" s="220" t="str">
        <f t="shared" si="13"/>
        <v>MEC&lt;C, go to Step 5</v>
      </c>
      <c r="K93" s="340"/>
      <c r="L93" s="220" t="str">
        <f>IF('data input for RPA'!I95="N","",'data input for RPA'!I95)</f>
        <v>Y</v>
      </c>
      <c r="M93" s="220">
        <f>IF(L93="","",IF('data input for RPA'!J95="Y","Y",""))</f>
      </c>
      <c r="N93" s="295">
        <f>IF(M93="Y",'data input for RPA'!K95,"")</f>
      </c>
      <c r="O93" s="402">
        <f>IF(M93="Y","",IF(L93="Y",'data input for RPA'!L95,""))</f>
        <v>0.00208</v>
      </c>
      <c r="P93" s="344">
        <f t="shared" si="11"/>
      </c>
      <c r="Q93" s="220" t="str">
        <f t="shared" si="12"/>
        <v>B&lt;C, Step 7</v>
      </c>
      <c r="R93" s="350">
        <f>'data input for RPA'!O95</f>
      </c>
      <c r="S93" s="220">
        <f t="shared" si="9"/>
      </c>
      <c r="T93" s="263">
        <f t="shared" si="14"/>
      </c>
      <c r="U93" s="398">
        <f>IF(WQBELs!AO100="","",WQBELs!AO100)</f>
      </c>
      <c r="V93" s="399">
        <f>IF(WQBELs!AP100="","",WQBELs!AP100)</f>
      </c>
    </row>
    <row r="94" spans="1:22" ht="12.75">
      <c r="A94" s="223">
        <v>88</v>
      </c>
      <c r="B94" s="224" t="s">
        <v>151</v>
      </c>
      <c r="C94" s="262">
        <f>Criteria!C100</f>
        <v>0.00077</v>
      </c>
      <c r="D94" s="220" t="str">
        <f>IF('data input for RPA'!C96="","",'data input for RPA'!C96)</f>
        <v>Y</v>
      </c>
      <c r="E94" s="220" t="str">
        <f>IF('data input for RPA'!D96="","",'data input for RPA'!D96)</f>
        <v>Y</v>
      </c>
      <c r="F94" s="220">
        <f>IF('data input for RPA'!E96="","",'data input for RPA'!E96)</f>
        <v>0.1</v>
      </c>
      <c r="G94" s="220">
        <f>IF(D94="","",IF(E94="Y","",'data input for RPA'!F96))</f>
      </c>
      <c r="H94" s="236" t="str">
        <f t="shared" si="8"/>
        <v>MDL &gt; C, Interim Monitor, Go To Step 5</v>
      </c>
      <c r="I94" s="264">
        <f t="shared" si="10"/>
      </c>
      <c r="J94" s="220">
        <f t="shared" si="13"/>
      </c>
      <c r="K94" s="340"/>
      <c r="L94" s="220" t="str">
        <f>IF('data input for RPA'!I96="N","",'data input for RPA'!I96)</f>
        <v>Y</v>
      </c>
      <c r="M94" s="220">
        <f>IF(L94="","",IF('data input for RPA'!J96="Y","Y",""))</f>
      </c>
      <c r="N94" s="295">
        <f>IF(M94="Y",'data input for RPA'!K96,"")</f>
      </c>
      <c r="O94" s="402">
        <f>IF(M94="Y","",IF(L94="Y",'data input for RPA'!L96,""))</f>
        <v>2.02E-05</v>
      </c>
      <c r="P94" s="344">
        <f t="shared" si="11"/>
      </c>
      <c r="Q94" s="220" t="str">
        <f t="shared" si="12"/>
        <v>B&lt;C, Step 7</v>
      </c>
      <c r="R94" s="350">
        <f>'data input for RPA'!O96</f>
      </c>
      <c r="S94" s="220">
        <f t="shared" si="9"/>
      </c>
      <c r="T94" s="263" t="str">
        <f t="shared" si="14"/>
        <v>Effluent MDL &gt; C, Interim Monitor</v>
      </c>
      <c r="U94" s="398">
        <f>IF(WQBELs!AO101="","",WQBELs!AO101)</f>
      </c>
      <c r="V94" s="399">
        <f>IF(WQBELs!AP101="","",WQBELs!AP101)</f>
      </c>
    </row>
    <row r="95" spans="1:22" ht="12.75">
      <c r="A95" s="223">
        <v>89</v>
      </c>
      <c r="B95" s="224" t="s">
        <v>152</v>
      </c>
      <c r="C95" s="262">
        <f>Criteria!C101</f>
        <v>50</v>
      </c>
      <c r="D95" s="220" t="str">
        <f>IF('data input for RPA'!C97="","",'data input for RPA'!C97)</f>
        <v>Y</v>
      </c>
      <c r="E95" s="220" t="str">
        <f>IF('data input for RPA'!D97="","",'data input for RPA'!D97)</f>
        <v>Y</v>
      </c>
      <c r="F95" s="220">
        <f>IF('data input for RPA'!E97="","",'data input for RPA'!E97)</f>
        <v>1</v>
      </c>
      <c r="G95" s="220">
        <f>IF(D95="","",IF(E95="Y","",'data input for RPA'!F97))</f>
      </c>
      <c r="H95" s="236" t="str">
        <f t="shared" si="8"/>
        <v>All ND MDL&lt;=C, MDL=MEC</v>
      </c>
      <c r="I95" s="264">
        <f t="shared" si="10"/>
        <v>1</v>
      </c>
      <c r="J95" s="220" t="str">
        <f t="shared" si="13"/>
        <v>MEC&lt;C, go to Step 5</v>
      </c>
      <c r="K95" s="340"/>
      <c r="L95" s="220" t="str">
        <f>IF('data input for RPA'!I97="N","",'data input for RPA'!I97)</f>
        <v>Y</v>
      </c>
      <c r="M95" s="220" t="str">
        <f>IF(L95="","",IF('data input for RPA'!J97="Y","Y",""))</f>
        <v>Y</v>
      </c>
      <c r="N95" s="295">
        <f>IF(M95="Y",'data input for RPA'!K97,"")</f>
        <v>0.3</v>
      </c>
      <c r="O95" s="402">
        <f>IF(M95="Y","",IF(L95="Y",'data input for RPA'!L97,""))</f>
      </c>
      <c r="P95" s="344" t="b">
        <f t="shared" si="11"/>
        <v>0</v>
      </c>
      <c r="Q95" s="220" t="str">
        <f t="shared" si="12"/>
        <v>No detected value of B, Step 7</v>
      </c>
      <c r="R95" s="350">
        <f>'data input for RPA'!O97</f>
      </c>
      <c r="S95" s="220">
        <f t="shared" si="9"/>
      </c>
      <c r="T95" s="263">
        <f t="shared" si="14"/>
      </c>
      <c r="U95" s="398">
        <f>IF(WQBELs!AO102="","",WQBELs!AO102)</f>
      </c>
      <c r="V95" s="399">
        <f>IF(WQBELs!AP102="","",WQBELs!AP102)</f>
      </c>
    </row>
    <row r="96" spans="1:22" ht="12.75">
      <c r="A96" s="223">
        <v>90</v>
      </c>
      <c r="B96" s="224" t="s">
        <v>153</v>
      </c>
      <c r="C96" s="262">
        <f>Criteria!C102</f>
        <v>17000</v>
      </c>
      <c r="D96" s="220" t="str">
        <f>IF('data input for RPA'!C98="","",'data input for RPA'!C98)</f>
        <v>Y</v>
      </c>
      <c r="E96" s="220" t="str">
        <f>IF('data input for RPA'!D98="","",'data input for RPA'!D98)</f>
        <v>Y</v>
      </c>
      <c r="F96" s="220">
        <f>IF('data input for RPA'!E98="","",'data input for RPA'!E98)</f>
        <v>5</v>
      </c>
      <c r="G96" s="220">
        <f>IF(D96="","",IF(E96="Y","",'data input for RPA'!F98))</f>
      </c>
      <c r="H96" s="236" t="str">
        <f t="shared" si="8"/>
        <v>All ND MDL&lt;=C, MDL=MEC</v>
      </c>
      <c r="I96" s="264">
        <f t="shared" si="10"/>
        <v>5</v>
      </c>
      <c r="J96" s="220" t="str">
        <f t="shared" si="13"/>
        <v>MEC&lt;C, go to Step 5</v>
      </c>
      <c r="K96" s="340"/>
      <c r="L96" s="220" t="str">
        <f>IF('data input for RPA'!I98="N","",'data input for RPA'!I98)</f>
        <v>Y</v>
      </c>
      <c r="M96" s="220" t="str">
        <f>IF(L96="","",IF('data input for RPA'!J98="Y","Y",""))</f>
        <v>Y</v>
      </c>
      <c r="N96" s="295">
        <f>IF(M96="Y",'data input for RPA'!K98,"")</f>
        <v>0.31</v>
      </c>
      <c r="O96" s="402">
        <f>IF(M96="Y","",IF(L96="Y",'data input for RPA'!L98,""))</f>
      </c>
      <c r="P96" s="344" t="b">
        <f t="shared" si="11"/>
        <v>0</v>
      </c>
      <c r="Q96" s="220" t="str">
        <f t="shared" si="12"/>
        <v>No detected value of B, Step 7</v>
      </c>
      <c r="R96" s="350">
        <f>'data input for RPA'!O98</f>
      </c>
      <c r="S96" s="220">
        <f t="shared" si="9"/>
      </c>
      <c r="T96" s="263">
        <f t="shared" si="14"/>
      </c>
      <c r="U96" s="398">
        <f>IF(WQBELs!AO103="","",WQBELs!AO103)</f>
      </c>
      <c r="V96" s="399">
        <f>IF(WQBELs!AP103="","",WQBELs!AP103)</f>
      </c>
    </row>
    <row r="97" spans="1:22" ht="12.75">
      <c r="A97" s="223">
        <v>91</v>
      </c>
      <c r="B97" s="224" t="s">
        <v>154</v>
      </c>
      <c r="C97" s="262">
        <f>Criteria!C103</f>
        <v>8.9</v>
      </c>
      <c r="D97" s="220" t="str">
        <f>IF('data input for RPA'!C99="","",'data input for RPA'!C99)</f>
        <v>Y</v>
      </c>
      <c r="E97" s="220" t="str">
        <f>IF('data input for RPA'!D99="","",'data input for RPA'!D99)</f>
        <v>Y</v>
      </c>
      <c r="F97" s="220">
        <f>IF('data input for RPA'!E99="","",'data input for RPA'!E99)</f>
        <v>1</v>
      </c>
      <c r="G97" s="220">
        <f>IF(D97="","",IF(E97="Y","",'data input for RPA'!F99))</f>
      </c>
      <c r="H97" s="236" t="str">
        <f t="shared" si="8"/>
        <v>All ND MDL&lt;=C, MDL=MEC</v>
      </c>
      <c r="I97" s="264">
        <f t="shared" si="10"/>
        <v>1</v>
      </c>
      <c r="J97" s="220" t="str">
        <f t="shared" si="13"/>
        <v>MEC&lt;C, go to Step 5</v>
      </c>
      <c r="K97" s="340"/>
      <c r="L97" s="220" t="str">
        <f>IF('data input for RPA'!I99="N","",'data input for RPA'!I99)</f>
        <v>Y</v>
      </c>
      <c r="M97" s="220" t="str">
        <f>IF(L97="","",IF('data input for RPA'!J99="Y","Y",""))</f>
        <v>Y</v>
      </c>
      <c r="N97" s="295">
        <f>IF(M97="Y",'data input for RPA'!K99,"")</f>
        <v>0.2</v>
      </c>
      <c r="O97" s="402">
        <f>IF(M97="Y","",IF(L97="Y",'data input for RPA'!L99,""))</f>
      </c>
      <c r="P97" s="344" t="b">
        <f t="shared" si="11"/>
        <v>0</v>
      </c>
      <c r="Q97" s="220" t="str">
        <f t="shared" si="12"/>
        <v>No detected value of B, Step 7</v>
      </c>
      <c r="R97" s="350">
        <f>'data input for RPA'!O99</f>
      </c>
      <c r="S97" s="220">
        <f t="shared" si="9"/>
      </c>
      <c r="T97" s="263">
        <f t="shared" si="14"/>
      </c>
      <c r="U97" s="398">
        <f>IF(WQBELs!AO104="","",WQBELs!AO104)</f>
      </c>
      <c r="V97" s="399">
        <f>IF(WQBELs!AP104="","",WQBELs!AP104)</f>
      </c>
    </row>
    <row r="98" spans="1:22" ht="12.75">
      <c r="A98" s="223">
        <v>92</v>
      </c>
      <c r="B98" s="224" t="s">
        <v>226</v>
      </c>
      <c r="C98" s="262">
        <f>Criteria!C104</f>
        <v>0.049</v>
      </c>
      <c r="D98" s="220" t="str">
        <f>IF('data input for RPA'!C100="","",'data input for RPA'!C100)</f>
        <v>Y</v>
      </c>
      <c r="E98" s="220" t="str">
        <f>IF('data input for RPA'!D100="","",'data input for RPA'!D100)</f>
        <v>Y</v>
      </c>
      <c r="F98" s="220">
        <f>IF('data input for RPA'!E100="","",'data input for RPA'!E100)</f>
        <v>0.05</v>
      </c>
      <c r="G98" s="220">
        <f>IF(D98="","",IF(E98="Y","",'data input for RPA'!F100))</f>
      </c>
      <c r="H98" s="236" t="str">
        <f t="shared" si="8"/>
        <v>MDL &gt; C, Interim Monitor, Go To Step 5</v>
      </c>
      <c r="I98" s="264">
        <f t="shared" si="10"/>
      </c>
      <c r="J98" s="220">
        <f t="shared" si="13"/>
      </c>
      <c r="K98" s="340"/>
      <c r="L98" s="220" t="str">
        <f>IF('data input for RPA'!I100="N","",'data input for RPA'!I100)</f>
        <v>Y</v>
      </c>
      <c r="M98" s="220">
        <f>IF(L98="","",IF('data input for RPA'!J100="Y","Y",""))</f>
      </c>
      <c r="N98" s="295">
        <f>IF(M98="Y",'data input for RPA'!K100,"")</f>
      </c>
      <c r="O98" s="402">
        <f>IF(M98="Y","",IF(L98="Y",'data input for RPA'!L100,""))</f>
        <v>0.004</v>
      </c>
      <c r="P98" s="344">
        <f t="shared" si="11"/>
      </c>
      <c r="Q98" s="220" t="str">
        <f t="shared" si="12"/>
        <v>B&lt;C, Step 7</v>
      </c>
      <c r="R98" s="350">
        <f>'data input for RPA'!O100</f>
      </c>
      <c r="S98" s="220">
        <f t="shared" si="9"/>
      </c>
      <c r="T98" s="263" t="str">
        <f t="shared" si="14"/>
        <v>Effluent MDL &gt; C, Interim Monitor</v>
      </c>
      <c r="U98" s="398">
        <f>IF(WQBELs!AO105="","",WQBELs!AO105)</f>
      </c>
      <c r="V98" s="399">
        <f>IF(WQBELs!AP105="","",WQBELs!AP105)</f>
      </c>
    </row>
    <row r="99" spans="1:22" ht="12.75">
      <c r="A99" s="223">
        <v>93</v>
      </c>
      <c r="B99" s="224" t="s">
        <v>156</v>
      </c>
      <c r="C99" s="262">
        <f>Criteria!C105</f>
        <v>600</v>
      </c>
      <c r="D99" s="220" t="str">
        <f>IF('data input for RPA'!C101="","",'data input for RPA'!C101)</f>
        <v>Y</v>
      </c>
      <c r="E99" s="220" t="str">
        <f>IF('data input for RPA'!D101="","",'data input for RPA'!D101)</f>
        <v>Y</v>
      </c>
      <c r="F99" s="220">
        <f>IF('data input for RPA'!E101="","",'data input for RPA'!E101)</f>
        <v>1</v>
      </c>
      <c r="G99" s="220">
        <f>IF(D99="","",IF(E99="Y","",'data input for RPA'!F101))</f>
      </c>
      <c r="H99" s="236" t="str">
        <f t="shared" si="8"/>
        <v>All ND MDL&lt;=C, MDL=MEC</v>
      </c>
      <c r="I99" s="264">
        <f t="shared" si="10"/>
        <v>1</v>
      </c>
      <c r="J99" s="220" t="str">
        <f t="shared" si="13"/>
        <v>MEC&lt;C, go to Step 5</v>
      </c>
      <c r="K99" s="340"/>
      <c r="L99" s="220" t="str">
        <f>IF('data input for RPA'!I101="N","",'data input for RPA'!I101)</f>
        <v>Y</v>
      </c>
      <c r="M99" s="220" t="str">
        <f>IF(L99="","",IF('data input for RPA'!J101="Y","Y",""))</f>
        <v>Y</v>
      </c>
      <c r="N99" s="295">
        <f>IF(M99="Y",'data input for RPA'!K101,"")</f>
        <v>0.3</v>
      </c>
      <c r="O99" s="402">
        <f>IF(M99="Y","",IF(L99="Y",'data input for RPA'!L101,""))</f>
      </c>
      <c r="P99" s="344" t="b">
        <f t="shared" si="11"/>
        <v>0</v>
      </c>
      <c r="Q99" s="220" t="str">
        <f t="shared" si="12"/>
        <v>No detected value of B, Step 7</v>
      </c>
      <c r="R99" s="350">
        <f>'data input for RPA'!O101</f>
      </c>
      <c r="S99" s="220">
        <f t="shared" si="9"/>
      </c>
      <c r="T99" s="263">
        <f t="shared" si="14"/>
      </c>
      <c r="U99" s="398">
        <f>IF(WQBELs!AO106="","",WQBELs!AO106)</f>
      </c>
      <c r="V99" s="399">
        <f>IF(WQBELs!AP106="","",WQBELs!AP106)</f>
      </c>
    </row>
    <row r="100" spans="1:22" ht="12.75">
      <c r="A100" s="223">
        <v>94</v>
      </c>
      <c r="B100" s="224" t="s">
        <v>227</v>
      </c>
      <c r="C100" s="262" t="str">
        <f>Criteria!C106</f>
        <v>No Criteria</v>
      </c>
      <c r="D100" s="220" t="str">
        <f>IF('data input for RPA'!C102="","",'data input for RPA'!C102)</f>
        <v>Y</v>
      </c>
      <c r="E100" s="220" t="str">
        <f>IF('data input for RPA'!D102="","",'data input for RPA'!D102)</f>
        <v>Y</v>
      </c>
      <c r="F100" s="220">
        <f>IF('data input for RPA'!E102="","",'data input for RPA'!E102)</f>
        <v>0.2</v>
      </c>
      <c r="G100" s="220">
        <f>IF(D100="","",IF(E100="Y","",'data input for RPA'!F102))</f>
      </c>
      <c r="H100" s="236" t="str">
        <f t="shared" si="8"/>
        <v>No Criteria</v>
      </c>
      <c r="I100" s="264">
        <f t="shared" si="10"/>
        <v>0.2</v>
      </c>
      <c r="J100" s="220" t="str">
        <f t="shared" si="13"/>
        <v>No Criteria</v>
      </c>
      <c r="K100" s="340"/>
      <c r="L100" s="220" t="str">
        <f>IF('data input for RPA'!I102="N","",'data input for RPA'!I102)</f>
        <v>Y</v>
      </c>
      <c r="M100" s="220">
        <f>IF(L100="","",IF('data input for RPA'!J102="Y","Y",""))</f>
      </c>
      <c r="N100" s="295">
        <f>IF(M100="Y",'data input for RPA'!K102,"")</f>
      </c>
      <c r="O100" s="402">
        <f>IF(M100="Y","",IF(L100="Y",'data input for RPA'!L102,""))</f>
        <v>0.0023</v>
      </c>
      <c r="P100" s="344">
        <f t="shared" si="11"/>
      </c>
      <c r="Q100" s="220" t="str">
        <f t="shared" si="12"/>
        <v>No Criteria</v>
      </c>
      <c r="R100" s="350" t="str">
        <f>'data input for RPA'!O102</f>
        <v>No Criteria</v>
      </c>
      <c r="S100" s="220">
        <f t="shared" si="9"/>
      </c>
      <c r="T100" s="263" t="str">
        <f t="shared" si="14"/>
        <v>Uo - No Criteria</v>
      </c>
      <c r="U100" s="398">
        <f>IF(WQBELs!AO107="","",WQBELs!AO107)</f>
      </c>
      <c r="V100" s="399">
        <f>IF(WQBELs!AP107="","",WQBELs!AP107)</f>
      </c>
    </row>
    <row r="101" spans="1:22" ht="12.75">
      <c r="A101" s="223">
        <v>95</v>
      </c>
      <c r="B101" s="224" t="s">
        <v>158</v>
      </c>
      <c r="C101" s="262">
        <f>Criteria!C107</f>
        <v>1900</v>
      </c>
      <c r="D101" s="220" t="str">
        <f>IF('data input for RPA'!C103="","",'data input for RPA'!C103)</f>
        <v>Y</v>
      </c>
      <c r="E101" s="220" t="str">
        <f>IF('data input for RPA'!D103="","",'data input for RPA'!D103)</f>
        <v>Y</v>
      </c>
      <c r="F101" s="220">
        <f>IF('data input for RPA'!E103="","",'data input for RPA'!E103)</f>
        <v>1</v>
      </c>
      <c r="G101" s="220">
        <f>IF(D101="","",IF(E101="Y","",'data input for RPA'!F103))</f>
      </c>
      <c r="H101" s="236" t="str">
        <f t="shared" si="8"/>
        <v>All ND MDL&lt;=C, MDL=MEC</v>
      </c>
      <c r="I101" s="264">
        <f t="shared" si="10"/>
        <v>1</v>
      </c>
      <c r="J101" s="220" t="str">
        <f t="shared" si="13"/>
        <v>MEC&lt;C, go to Step 5</v>
      </c>
      <c r="K101" s="340"/>
      <c r="L101" s="220" t="str">
        <f>IF('data input for RPA'!I103="N","",'data input for RPA'!I103)</f>
        <v>Y</v>
      </c>
      <c r="M101" s="220" t="str">
        <f>IF(L101="","",IF('data input for RPA'!J103="Y","Y",""))</f>
        <v>Y</v>
      </c>
      <c r="N101" s="295">
        <f>IF(M101="Y",'data input for RPA'!K103,"")</f>
        <v>0.25</v>
      </c>
      <c r="O101" s="402">
        <f>IF(M101="Y","",IF(L101="Y",'data input for RPA'!L103,""))</f>
      </c>
      <c r="P101" s="344" t="b">
        <f t="shared" si="11"/>
        <v>0</v>
      </c>
      <c r="Q101" s="220" t="str">
        <f t="shared" si="12"/>
        <v>No detected value of B, Step 7</v>
      </c>
      <c r="R101" s="350">
        <f>'data input for RPA'!O103</f>
      </c>
      <c r="S101" s="220">
        <f t="shared" si="9"/>
      </c>
      <c r="T101" s="263">
        <f t="shared" si="14"/>
      </c>
      <c r="U101" s="398">
        <f>IF(WQBELs!AO108="","",WQBELs!AO108)</f>
      </c>
      <c r="V101" s="399">
        <f>IF(WQBELs!AP108="","",WQBELs!AP108)</f>
      </c>
    </row>
    <row r="102" spans="1:22" ht="12.75">
      <c r="A102" s="223">
        <v>96</v>
      </c>
      <c r="B102" s="224" t="s">
        <v>159</v>
      </c>
      <c r="C102" s="262">
        <f>Criteria!C108</f>
        <v>8.1</v>
      </c>
      <c r="D102" s="220" t="str">
        <f>IF('data input for RPA'!C104="","",'data input for RPA'!C104)</f>
        <v>Y</v>
      </c>
      <c r="E102" s="220" t="str">
        <f>IF('data input for RPA'!D104="","",'data input for RPA'!D104)</f>
        <v>Y</v>
      </c>
      <c r="F102" s="220">
        <f>IF('data input for RPA'!E104="","",'data input for RPA'!E104)</f>
        <v>1</v>
      </c>
      <c r="G102" s="220">
        <f>IF(D102="","",IF(E102="Y","",'data input for RPA'!F104))</f>
      </c>
      <c r="H102" s="236" t="str">
        <f t="shared" si="8"/>
        <v>All ND MDL&lt;=C, MDL=MEC</v>
      </c>
      <c r="I102" s="264">
        <f t="shared" si="10"/>
        <v>1</v>
      </c>
      <c r="J102" s="220" t="str">
        <f t="shared" si="13"/>
        <v>MEC&lt;C, go to Step 5</v>
      </c>
      <c r="K102" s="340"/>
      <c r="L102" s="220" t="str">
        <f>IF('data input for RPA'!I104="N","",'data input for RPA'!I104)</f>
        <v>Y</v>
      </c>
      <c r="M102" s="220" t="str">
        <f>IF(L102="","",IF('data input for RPA'!J104="Y","Y",""))</f>
        <v>Y</v>
      </c>
      <c r="N102" s="295">
        <f>IF(M102="Y",'data input for RPA'!K104,"")</f>
        <v>0.3</v>
      </c>
      <c r="O102" s="402">
        <f>IF(M102="Y","",IF(L102="Y",'data input for RPA'!L104,""))</f>
      </c>
      <c r="P102" s="344" t="b">
        <f t="shared" si="11"/>
        <v>0</v>
      </c>
      <c r="Q102" s="220" t="str">
        <f t="shared" si="12"/>
        <v>No detected value of B, Step 7</v>
      </c>
      <c r="R102" s="350">
        <f>'data input for RPA'!O104</f>
      </c>
      <c r="S102" s="220">
        <f t="shared" si="9"/>
      </c>
      <c r="T102" s="263">
        <f t="shared" si="14"/>
      </c>
      <c r="U102" s="398">
        <f>IF(WQBELs!AO109="","",WQBELs!AO109)</f>
      </c>
      <c r="V102" s="399">
        <f>IF(WQBELs!AP109="","",WQBELs!AP109)</f>
      </c>
    </row>
    <row r="103" spans="1:22" ht="12.75">
      <c r="A103" s="223">
        <v>97</v>
      </c>
      <c r="B103" s="224" t="s">
        <v>160</v>
      </c>
      <c r="C103" s="262">
        <f>Criteria!C109</f>
        <v>1.4</v>
      </c>
      <c r="D103" s="220" t="str">
        <f>IF('data input for RPA'!C105="","",'data input for RPA'!C105)</f>
        <v>Y</v>
      </c>
      <c r="E103" s="220" t="str">
        <f>IF('data input for RPA'!D105="","",'data input for RPA'!D105)</f>
        <v>Y</v>
      </c>
      <c r="F103" s="220">
        <f>IF('data input for RPA'!E105="","",'data input for RPA'!E105)</f>
        <v>5</v>
      </c>
      <c r="G103" s="220">
        <f>IF(D103="","",IF(E103="Y","",'data input for RPA'!F105))</f>
      </c>
      <c r="H103" s="236" t="str">
        <f t="shared" si="8"/>
        <v>MDL &gt; C, Interim Monitor, Go To Step 5</v>
      </c>
      <c r="I103" s="264">
        <f t="shared" si="10"/>
      </c>
      <c r="J103" s="220">
        <f t="shared" si="13"/>
      </c>
      <c r="K103" s="340"/>
      <c r="L103" s="220" t="str">
        <f>IF('data input for RPA'!I105="N","",'data input for RPA'!I105)</f>
        <v>Y</v>
      </c>
      <c r="M103" s="220" t="str">
        <f>IF(L103="","",IF('data input for RPA'!J105="Y","Y",""))</f>
        <v>Y</v>
      </c>
      <c r="N103" s="295">
        <f>IF(M103="Y",'data input for RPA'!K105,"")</f>
        <v>0.001</v>
      </c>
      <c r="O103" s="402">
        <f>IF(M103="Y","",IF(L103="Y",'data input for RPA'!L105,""))</f>
      </c>
      <c r="P103" s="344" t="b">
        <f t="shared" si="11"/>
        <v>0</v>
      </c>
      <c r="Q103" s="220" t="str">
        <f t="shared" si="12"/>
        <v>No detected value of B, Step 7</v>
      </c>
      <c r="R103" s="350">
        <f>'data input for RPA'!O105</f>
      </c>
      <c r="S103" s="220">
        <f t="shared" si="9"/>
      </c>
      <c r="T103" s="263" t="str">
        <f t="shared" si="14"/>
        <v>Effluent MDL &gt; C, Interim Monitor</v>
      </c>
      <c r="U103" s="398">
        <f>IF(WQBELs!AO110="","",WQBELs!AO110)</f>
      </c>
      <c r="V103" s="399">
        <f>IF(WQBELs!AP110="","",WQBELs!AP110)</f>
      </c>
    </row>
    <row r="104" spans="1:22" ht="12.75">
      <c r="A104" s="223">
        <v>98</v>
      </c>
      <c r="B104" s="224" t="s">
        <v>161</v>
      </c>
      <c r="C104" s="262">
        <f>Criteria!C110</f>
        <v>16</v>
      </c>
      <c r="D104" s="220" t="str">
        <f>IF('data input for RPA'!C106="","",'data input for RPA'!C106)</f>
        <v>Y</v>
      </c>
      <c r="E104" s="220" t="str">
        <f>IF('data input for RPA'!D106="","",'data input for RPA'!D106)</f>
        <v>Y</v>
      </c>
      <c r="F104" s="220">
        <f>IF('data input for RPA'!E106="","",'data input for RPA'!E106)</f>
        <v>1</v>
      </c>
      <c r="G104" s="220">
        <f>IF(D104="","",IF(E104="Y","",'data input for RPA'!F106))</f>
      </c>
      <c r="H104" s="236" t="str">
        <f t="shared" si="8"/>
        <v>All ND MDL&lt;=C, MDL=MEC</v>
      </c>
      <c r="I104" s="264">
        <f t="shared" si="10"/>
        <v>1</v>
      </c>
      <c r="J104" s="220" t="str">
        <f t="shared" si="13"/>
        <v>MEC&lt;C, go to Step 5</v>
      </c>
      <c r="K104" s="340"/>
      <c r="L104" s="220" t="str">
        <f>IF('data input for RPA'!I106="N","",'data input for RPA'!I106)</f>
        <v>Y</v>
      </c>
      <c r="M104" s="220" t="str">
        <f>IF(L104="","",IF('data input for RPA'!J106="Y","Y",""))</f>
        <v>Y</v>
      </c>
      <c r="N104" s="295">
        <f>IF(M104="Y",'data input for RPA'!K106,"")</f>
        <v>0.001</v>
      </c>
      <c r="O104" s="402">
        <f>IF(M104="Y","",IF(L104="Y",'data input for RPA'!L106,""))</f>
      </c>
      <c r="P104" s="344" t="b">
        <f t="shared" si="11"/>
        <v>0</v>
      </c>
      <c r="Q104" s="220" t="str">
        <f t="shared" si="12"/>
        <v>No detected value of B, Step 7</v>
      </c>
      <c r="R104" s="350">
        <f>'data input for RPA'!O106</f>
      </c>
      <c r="S104" s="220">
        <f t="shared" si="9"/>
      </c>
      <c r="T104" s="263">
        <f t="shared" si="14"/>
      </c>
      <c r="U104" s="398">
        <f>IF(WQBELs!AO111="","",WQBELs!AO111)</f>
      </c>
      <c r="V104" s="399">
        <f>IF(WQBELs!AP111="","",WQBELs!AP111)</f>
      </c>
    </row>
    <row r="105" spans="1:22" ht="12.75">
      <c r="A105" s="223">
        <v>99</v>
      </c>
      <c r="B105" s="224" t="s">
        <v>162</v>
      </c>
      <c r="C105" s="262" t="str">
        <f>Criteria!C111</f>
        <v>No Criteria</v>
      </c>
      <c r="D105" s="220" t="str">
        <f>IF('data input for RPA'!C107="","",'data input for RPA'!C107)</f>
        <v>Y</v>
      </c>
      <c r="E105" s="220" t="str">
        <f>IF('data input for RPA'!D107="","",'data input for RPA'!D107)</f>
        <v>Y</v>
      </c>
      <c r="F105" s="220">
        <f>IF('data input for RPA'!E107="","",'data input for RPA'!E107)</f>
        <v>0.05</v>
      </c>
      <c r="G105" s="220">
        <f>IF(D105="","",IF(E105="Y","",'data input for RPA'!F107))</f>
      </c>
      <c r="H105" s="236" t="str">
        <f t="shared" si="8"/>
        <v>No Criteria</v>
      </c>
      <c r="I105" s="264">
        <f t="shared" si="10"/>
        <v>0.05</v>
      </c>
      <c r="J105" s="220" t="str">
        <f t="shared" si="13"/>
        <v>No Criteria</v>
      </c>
      <c r="K105" s="340"/>
      <c r="L105" s="220" t="str">
        <f>IF('data input for RPA'!I107="N","",'data input for RPA'!I107)</f>
        <v>Y</v>
      </c>
      <c r="M105" s="220">
        <f>IF(L105="","",IF('data input for RPA'!J107="Y","Y",""))</f>
      </c>
      <c r="N105" s="295">
        <f>IF(M105="Y",'data input for RPA'!K107,"")</f>
      </c>
      <c r="O105" s="402">
        <f>IF(M105="Y","",IF(L105="Y",'data input for RPA'!L107,""))</f>
        <v>0.0061</v>
      </c>
      <c r="P105" s="344">
        <f t="shared" si="11"/>
      </c>
      <c r="Q105" s="220" t="str">
        <f t="shared" si="12"/>
        <v>No Criteria</v>
      </c>
      <c r="R105" s="350" t="str">
        <f>'data input for RPA'!O107</f>
        <v>No Criteria</v>
      </c>
      <c r="S105" s="220">
        <f t="shared" si="9"/>
      </c>
      <c r="T105" s="263" t="str">
        <f t="shared" si="14"/>
        <v>Uo - No Criteria</v>
      </c>
      <c r="U105" s="398">
        <f>IF(WQBELs!AO112="","",WQBELs!AO112)</f>
      </c>
      <c r="V105" s="399">
        <f>IF(WQBELs!AP112="","",WQBELs!AP112)</f>
      </c>
    </row>
    <row r="106" spans="1:22" ht="12.75">
      <c r="A106" s="223">
        <v>100</v>
      </c>
      <c r="B106" s="224" t="s">
        <v>163</v>
      </c>
      <c r="C106" s="262">
        <f>Criteria!C112</f>
        <v>11000</v>
      </c>
      <c r="D106" s="220" t="str">
        <f>IF('data input for RPA'!C108="","",'data input for RPA'!C108)</f>
        <v>Y</v>
      </c>
      <c r="E106" s="220" t="str">
        <f>IF('data input for RPA'!D108="","",'data input for RPA'!D108)</f>
        <v>Y</v>
      </c>
      <c r="F106" s="220">
        <f>IF('data input for RPA'!E108="","",'data input for RPA'!E108)</f>
        <v>0.05</v>
      </c>
      <c r="G106" s="220">
        <f>IF(D106="","",IF(E106="Y","",'data input for RPA'!F108))</f>
      </c>
      <c r="H106" s="236" t="str">
        <f t="shared" si="8"/>
        <v>All ND MDL&lt;=C, MDL=MEC</v>
      </c>
      <c r="I106" s="264">
        <f t="shared" si="10"/>
        <v>0.05</v>
      </c>
      <c r="J106" s="220" t="str">
        <f t="shared" si="13"/>
        <v>MEC&lt;C, go to Step 5</v>
      </c>
      <c r="K106" s="340"/>
      <c r="L106" s="220" t="str">
        <f>IF('data input for RPA'!I108="N","",'data input for RPA'!I108)</f>
        <v>Y</v>
      </c>
      <c r="M106" s="220">
        <f>IF(L106="","",IF('data input for RPA'!J108="Y","Y",""))</f>
      </c>
      <c r="N106" s="295">
        <f>IF(M106="Y",'data input for RPA'!K108,"")</f>
      </c>
      <c r="O106" s="402">
        <f>IF(M106="Y","",IF(L106="Y",'data input for RPA'!L108,""))</f>
        <v>0.0051</v>
      </c>
      <c r="P106" s="344">
        <f t="shared" si="11"/>
      </c>
      <c r="Q106" s="220" t="str">
        <f t="shared" si="12"/>
        <v>B&lt;C, Step 7</v>
      </c>
      <c r="R106" s="350">
        <f>'data input for RPA'!O108</f>
      </c>
      <c r="S106" s="220">
        <f t="shared" si="9"/>
      </c>
      <c r="T106" s="263">
        <f t="shared" si="14"/>
      </c>
      <c r="U106" s="398">
        <f>IF(WQBELs!AO113="","",WQBELs!AO113)</f>
      </c>
      <c r="V106" s="399">
        <f>IF(WQBELs!AP113="","",WQBELs!AP113)</f>
      </c>
    </row>
    <row r="107" spans="1:22" ht="12.75">
      <c r="A107" s="223">
        <v>101</v>
      </c>
      <c r="B107" s="224" t="s">
        <v>164</v>
      </c>
      <c r="C107" s="262" t="str">
        <f>Criteria!C113</f>
        <v>No Criteria</v>
      </c>
      <c r="D107" s="220" t="str">
        <f>IF('data input for RPA'!C109="","",'data input for RPA'!C109)</f>
        <v>Y</v>
      </c>
      <c r="E107" s="220" t="str">
        <f>IF('data input for RPA'!D109="","",'data input for RPA'!D109)</f>
        <v>Y</v>
      </c>
      <c r="F107" s="220">
        <f>IF('data input for RPA'!E109="","",'data input for RPA'!E109)</f>
        <v>5</v>
      </c>
      <c r="G107" s="220">
        <f>IF(D107="","",IF(E107="Y","",'data input for RPA'!F109))</f>
      </c>
      <c r="H107" s="236" t="str">
        <f t="shared" si="8"/>
        <v>No Criteria</v>
      </c>
      <c r="I107" s="264">
        <f t="shared" si="10"/>
        <v>5</v>
      </c>
      <c r="J107" s="220" t="str">
        <f t="shared" si="13"/>
        <v>No Criteria</v>
      </c>
      <c r="K107" s="340"/>
      <c r="L107" s="220" t="str">
        <f>IF('data input for RPA'!I109="N","",'data input for RPA'!I109)</f>
        <v>Y</v>
      </c>
      <c r="M107" s="220" t="str">
        <f>IF(L107="","",IF('data input for RPA'!J109="Y","Y",""))</f>
        <v>Y</v>
      </c>
      <c r="N107" s="295">
        <f>IF(M107="Y",'data input for RPA'!K109,"")</f>
        <v>0.3</v>
      </c>
      <c r="O107" s="402">
        <f>IF(M107="Y","",IF(L107="Y",'data input for RPA'!L109,""))</f>
      </c>
      <c r="P107" s="344" t="b">
        <f t="shared" si="11"/>
        <v>0</v>
      </c>
      <c r="Q107" s="220" t="str">
        <f t="shared" si="12"/>
        <v>No Criteria</v>
      </c>
      <c r="R107" s="350" t="str">
        <f>'data input for RPA'!O109</f>
        <v>No Criteria</v>
      </c>
      <c r="S107" s="220">
        <f t="shared" si="9"/>
      </c>
      <c r="T107" s="263" t="str">
        <f t="shared" si="14"/>
        <v>Uo - No Criteria</v>
      </c>
      <c r="U107" s="398">
        <f>IF(WQBELs!AO114="","",WQBELs!AO114)</f>
      </c>
      <c r="V107" s="399">
        <f>IF(WQBELs!AP114="","",WQBELs!AP114)</f>
      </c>
    </row>
    <row r="108" spans="1:22" ht="12.75">
      <c r="A108" s="223">
        <v>102</v>
      </c>
      <c r="B108" s="224" t="s">
        <v>165</v>
      </c>
      <c r="C108" s="262">
        <f>Criteria!C114</f>
        <v>0.00014</v>
      </c>
      <c r="D108" s="220" t="str">
        <f>IF('data input for RPA'!C110="","",'data input for RPA'!C110)</f>
        <v>Y</v>
      </c>
      <c r="E108" s="220" t="str">
        <f>IF('data input for RPA'!D110="","",'data input for RPA'!D110)</f>
        <v>Y</v>
      </c>
      <c r="F108" s="220">
        <f>IF('data input for RPA'!E110="","",'data input for RPA'!E110)</f>
        <v>0.005</v>
      </c>
      <c r="G108" s="220">
        <f>IF(D108="","",IF(E108="Y","",'data input for RPA'!F110))</f>
      </c>
      <c r="H108" s="236" t="str">
        <f t="shared" si="8"/>
        <v>MDL &gt; C, Interim Monitor, Go To Step 5</v>
      </c>
      <c r="I108" s="264">
        <f t="shared" si="10"/>
      </c>
      <c r="J108" s="220">
        <f t="shared" si="13"/>
      </c>
      <c r="K108" s="340"/>
      <c r="L108" s="220">
        <f>IF('data input for RPA'!I110="N","",'data input for RPA'!I110)</f>
      </c>
      <c r="M108" s="220">
        <f>IF(L108="","",IF('data input for RPA'!J110="Y","Y",""))</f>
      </c>
      <c r="N108" s="295">
        <f>IF(M108="Y",'data input for RPA'!K110,"")</f>
      </c>
      <c r="O108" s="402">
        <f>IF(M108="Y","",IF(L108="Y",'data input for RPA'!L110,""))</f>
      </c>
      <c r="P108" s="344">
        <f t="shared" si="11"/>
      </c>
      <c r="Q108" s="220" t="str">
        <f t="shared" si="12"/>
        <v>No detected value of B, Step 7</v>
      </c>
      <c r="R108" s="350">
        <f>'data input for RPA'!O110</f>
      </c>
      <c r="S108" s="220">
        <f t="shared" si="9"/>
      </c>
      <c r="T108" s="263" t="str">
        <f t="shared" si="14"/>
        <v>Effluent MDL &gt; C, Interim Monitor</v>
      </c>
      <c r="U108" s="398">
        <f>IF(WQBELs!AO115="","",WQBELs!AO115)</f>
      </c>
      <c r="V108" s="399">
        <f>IF(WQBELs!AP115="","",WQBELs!AP115)</f>
      </c>
    </row>
    <row r="109" spans="1:22" ht="12.75">
      <c r="A109" s="223">
        <v>103</v>
      </c>
      <c r="B109" s="224" t="s">
        <v>166</v>
      </c>
      <c r="C109" s="262">
        <f>Criteria!C115</f>
        <v>0.013</v>
      </c>
      <c r="D109" s="220" t="str">
        <f>IF('data input for RPA'!C111="","",'data input for RPA'!C111)</f>
        <v>Y</v>
      </c>
      <c r="E109" s="220" t="str">
        <f>IF('data input for RPA'!D111="","",'data input for RPA'!D111)</f>
        <v>Y</v>
      </c>
      <c r="F109" s="220">
        <f>IF('data input for RPA'!E111="","",'data input for RPA'!E111)</f>
        <v>0.01</v>
      </c>
      <c r="G109" s="220">
        <f>IF(D109="","",IF(E109="Y","",'data input for RPA'!F111))</f>
      </c>
      <c r="H109" s="236" t="str">
        <f t="shared" si="8"/>
        <v>All ND MDL&lt;=C, MDL=MEC</v>
      </c>
      <c r="I109" s="264">
        <f t="shared" si="10"/>
        <v>0.01</v>
      </c>
      <c r="J109" s="220" t="str">
        <f t="shared" si="13"/>
        <v>MEC&lt;C, go to Step 5</v>
      </c>
      <c r="K109" s="340"/>
      <c r="L109" s="220" t="str">
        <f>IF('data input for RPA'!I111="N","",'data input for RPA'!I111)</f>
        <v>Y</v>
      </c>
      <c r="M109" s="220">
        <f>IF(L109="","",IF('data input for RPA'!J111="Y","Y",""))</f>
      </c>
      <c r="N109" s="295">
        <f>IF(M109="Y",'data input for RPA'!K111,"")</f>
      </c>
      <c r="O109" s="402">
        <f>IF(M109="Y","",IF(L109="Y",'data input for RPA'!L111,""))</f>
        <v>0.000496</v>
      </c>
      <c r="P109" s="344">
        <f t="shared" si="11"/>
      </c>
      <c r="Q109" s="220" t="str">
        <f t="shared" si="12"/>
        <v>B&lt;C, Step 7</v>
      </c>
      <c r="R109" s="350">
        <f>'data input for RPA'!O111</f>
      </c>
      <c r="S109" s="220">
        <f t="shared" si="9"/>
      </c>
      <c r="T109" s="263">
        <f t="shared" si="14"/>
      </c>
      <c r="U109" s="398">
        <f>IF(WQBELs!AO116="","",WQBELs!AO116)</f>
      </c>
      <c r="V109" s="399">
        <f>IF(WQBELs!AP116="","",WQBELs!AP116)</f>
      </c>
    </row>
    <row r="110" spans="1:22" ht="12.75">
      <c r="A110" s="223">
        <v>104</v>
      </c>
      <c r="B110" s="224" t="s">
        <v>167</v>
      </c>
      <c r="C110" s="262">
        <f>Criteria!C116</f>
        <v>0.046</v>
      </c>
      <c r="D110" s="220" t="str">
        <f>IF('data input for RPA'!C112="","",'data input for RPA'!C112)</f>
        <v>Y</v>
      </c>
      <c r="E110" s="220" t="str">
        <f>IF('data input for RPA'!D112="","",'data input for RPA'!D112)</f>
        <v>Y</v>
      </c>
      <c r="F110" s="220">
        <f>IF('data input for RPA'!E112="","",'data input for RPA'!E112)</f>
        <v>0.005</v>
      </c>
      <c r="G110" s="220">
        <f>IF(D110="","",IF(E110="Y","",'data input for RPA'!F112))</f>
      </c>
      <c r="H110" s="236" t="str">
        <f t="shared" si="8"/>
        <v>All ND MDL&lt;=C, MDL=MEC</v>
      </c>
      <c r="I110" s="264">
        <f t="shared" si="10"/>
        <v>0.005</v>
      </c>
      <c r="J110" s="220" t="str">
        <f t="shared" si="13"/>
        <v>MEC&lt;C, go to Step 5</v>
      </c>
      <c r="K110" s="340"/>
      <c r="L110" s="220" t="str">
        <f>IF('data input for RPA'!I112="N","",'data input for RPA'!I112)</f>
        <v>Y</v>
      </c>
      <c r="M110" s="220">
        <f>IF(L110="","",IF('data input for RPA'!J112="Y","Y",""))</f>
      </c>
      <c r="N110" s="295">
        <f>IF(M110="Y",'data input for RPA'!K112,"")</f>
      </c>
      <c r="O110" s="402">
        <f>IF(M110="Y","",IF(L110="Y",'data input for RPA'!L112,""))</f>
        <v>0.000413</v>
      </c>
      <c r="P110" s="344">
        <f t="shared" si="11"/>
      </c>
      <c r="Q110" s="220" t="str">
        <f t="shared" si="12"/>
        <v>B&lt;C, Step 7</v>
      </c>
      <c r="R110" s="350">
        <f>'data input for RPA'!O112</f>
      </c>
      <c r="S110" s="220">
        <f t="shared" si="9"/>
      </c>
      <c r="T110" s="263">
        <f t="shared" si="14"/>
      </c>
      <c r="U110" s="398">
        <f>IF(WQBELs!AO117="","",WQBELs!AO117)</f>
      </c>
      <c r="V110" s="399">
        <f>IF(WQBELs!AP117="","",WQBELs!AP117)</f>
      </c>
    </row>
    <row r="111" spans="1:22" ht="12.75">
      <c r="A111" s="223">
        <v>105</v>
      </c>
      <c r="B111" s="224" t="s">
        <v>168</v>
      </c>
      <c r="C111" s="262">
        <f>Criteria!C117</f>
        <v>0.063</v>
      </c>
      <c r="D111" s="220" t="str">
        <f>IF('data input for RPA'!C113="","",'data input for RPA'!C113)</f>
        <v>Y</v>
      </c>
      <c r="E111" s="220" t="str">
        <f>IF('data input for RPA'!D113="","",'data input for RPA'!D113)</f>
        <v>Y</v>
      </c>
      <c r="F111" s="220">
        <f>IF('data input for RPA'!E113="","",'data input for RPA'!E113)</f>
        <v>0.01</v>
      </c>
      <c r="G111" s="220">
        <f>IF(D111="","",IF(E111="Y","",'data input for RPA'!F113))</f>
      </c>
      <c r="H111" s="236" t="str">
        <f t="shared" si="8"/>
        <v>All ND MDL&lt;=C, MDL=MEC</v>
      </c>
      <c r="I111" s="264">
        <f t="shared" si="10"/>
        <v>0.01</v>
      </c>
      <c r="J111" s="220" t="str">
        <f t="shared" si="13"/>
        <v>MEC&lt;C, go to Step 5</v>
      </c>
      <c r="K111" s="340"/>
      <c r="L111" s="220" t="str">
        <f>IF('data input for RPA'!I113="N","",'data input for RPA'!I113)</f>
        <v>Y</v>
      </c>
      <c r="M111" s="220">
        <f>IF(L111="","",IF('data input for RPA'!J113="Y","Y",""))</f>
      </c>
      <c r="N111" s="295">
        <f>IF(M111="Y",'data input for RPA'!K113,"")</f>
      </c>
      <c r="O111" s="402">
        <f>IF(M111="Y","",IF(L111="Y",'data input for RPA'!L113,""))</f>
        <v>0.0007034</v>
      </c>
      <c r="P111" s="344">
        <f t="shared" si="11"/>
      </c>
      <c r="Q111" s="220" t="str">
        <f t="shared" si="12"/>
        <v>B&lt;C, Step 7</v>
      </c>
      <c r="R111" s="350">
        <f>'data input for RPA'!O113</f>
      </c>
      <c r="S111" s="220">
        <f t="shared" si="9"/>
      </c>
      <c r="T111" s="263">
        <f t="shared" si="14"/>
      </c>
      <c r="U111" s="398">
        <f>IF(WQBELs!AO118="","",WQBELs!AO118)</f>
      </c>
      <c r="V111" s="399">
        <f>IF(WQBELs!AP118="","",WQBELs!AP118)</f>
      </c>
    </row>
    <row r="112" spans="1:22" ht="12.75">
      <c r="A112" s="223">
        <v>106</v>
      </c>
      <c r="B112" s="224" t="s">
        <v>169</v>
      </c>
      <c r="C112" s="262" t="str">
        <f>Criteria!C118</f>
        <v>No Criteria</v>
      </c>
      <c r="D112" s="220" t="str">
        <f>IF('data input for RPA'!C114="","",'data input for RPA'!C114)</f>
        <v>Y</v>
      </c>
      <c r="E112" s="220" t="str">
        <f>IF('data input for RPA'!D114="","",'data input for RPA'!D114)</f>
        <v>Y</v>
      </c>
      <c r="F112" s="220">
        <f>IF('data input for RPA'!E114="","",'data input for RPA'!E114)</f>
        <v>0.01</v>
      </c>
      <c r="G112" s="220">
        <f>IF(D112="","",IF(E112="Y","",'data input for RPA'!F114))</f>
      </c>
      <c r="H112" s="236" t="str">
        <f t="shared" si="8"/>
        <v>No Criteria</v>
      </c>
      <c r="I112" s="264">
        <f t="shared" si="10"/>
        <v>0.01</v>
      </c>
      <c r="J112" s="220" t="str">
        <f t="shared" si="13"/>
        <v>No Criteria</v>
      </c>
      <c r="K112" s="340"/>
      <c r="L112" s="220" t="str">
        <f>IF('data input for RPA'!I114="N","",'data input for RPA'!I114)</f>
        <v>Y</v>
      </c>
      <c r="M112" s="220">
        <f>IF(L112="","",IF('data input for RPA'!J114="Y","Y",""))</f>
      </c>
      <c r="N112" s="295">
        <f>IF(M112="Y",'data input for RPA'!K114,"")</f>
      </c>
      <c r="O112" s="402">
        <f>IF(M112="Y","",IF(L112="Y",'data input for RPA'!L114,""))</f>
        <v>4.2E-05</v>
      </c>
      <c r="P112" s="344">
        <f t="shared" si="11"/>
      </c>
      <c r="Q112" s="220" t="str">
        <f t="shared" si="12"/>
        <v>No Criteria</v>
      </c>
      <c r="R112" s="350" t="str">
        <f>'data input for RPA'!O114</f>
        <v>No Criteria</v>
      </c>
      <c r="S112" s="220">
        <f t="shared" si="9"/>
      </c>
      <c r="T112" s="263" t="str">
        <f t="shared" si="14"/>
        <v>Uo - No Criteria</v>
      </c>
      <c r="U112" s="398">
        <f>IF(WQBELs!AO119="","",WQBELs!AO119)</f>
      </c>
      <c r="V112" s="399">
        <f>IF(WQBELs!AP119="","",WQBELs!AP119)</f>
      </c>
    </row>
    <row r="113" spans="1:22" ht="12.75">
      <c r="A113" s="233">
        <v>107</v>
      </c>
      <c r="B113" s="234" t="s">
        <v>248</v>
      </c>
      <c r="C113" s="262">
        <f>Criteria!C119</f>
        <v>0.00059</v>
      </c>
      <c r="D113" s="220" t="str">
        <f>IF('data input for RPA'!C115="","",'data input for RPA'!C115)</f>
        <v>Y</v>
      </c>
      <c r="E113" s="220" t="str">
        <f>IF('data input for RPA'!D115="","",'data input for RPA'!D115)</f>
        <v>Y</v>
      </c>
      <c r="F113" s="220">
        <f>IF('data input for RPA'!E115="","",'data input for RPA'!E115)</f>
        <v>0.02</v>
      </c>
      <c r="G113" s="220">
        <f>IF(D113="","",IF(E113="Y","",'data input for RPA'!F115))</f>
      </c>
      <c r="H113" s="236" t="str">
        <f t="shared" si="8"/>
        <v>MDL &gt; C, Interim Monitor, Go To Step 5</v>
      </c>
      <c r="I113" s="264">
        <f t="shared" si="10"/>
      </c>
      <c r="J113" s="220">
        <f t="shared" si="13"/>
      </c>
      <c r="K113" s="340"/>
      <c r="L113" s="220" t="str">
        <f>IF('data input for RPA'!I115="N","",'data input for RPA'!I115)</f>
        <v>Y</v>
      </c>
      <c r="M113" s="220">
        <f>IF(L113="","",IF('data input for RPA'!J115="Y","Y",""))</f>
      </c>
      <c r="N113" s="295">
        <f>IF(M113="Y",'data input for RPA'!K115,"")</f>
      </c>
      <c r="O113" s="402">
        <f>IF(M113="Y","",IF(L113="Y",'data input for RPA'!L115,""))</f>
        <v>0.00018</v>
      </c>
      <c r="P113" s="344">
        <f t="shared" si="11"/>
      </c>
      <c r="Q113" s="220" t="str">
        <f t="shared" si="12"/>
        <v>B&lt;C, Step 7</v>
      </c>
      <c r="R113" s="350">
        <f>'data input for RPA'!O115</f>
      </c>
      <c r="S113" s="220">
        <f t="shared" si="9"/>
      </c>
      <c r="T113" s="263" t="str">
        <f t="shared" si="14"/>
        <v>Effluent MDL &gt; C, Interim Monitor</v>
      </c>
      <c r="U113" s="398">
        <f>IF(WQBELs!AO120="","",WQBELs!AO120)</f>
      </c>
      <c r="V113" s="399">
        <f>IF(WQBELs!AP120="","",WQBELs!AP120)</f>
      </c>
    </row>
    <row r="114" spans="1:22" ht="12.75">
      <c r="A114" s="233">
        <v>108</v>
      </c>
      <c r="B114" s="234" t="s">
        <v>249</v>
      </c>
      <c r="C114" s="262">
        <f>Criteria!C120</f>
        <v>0.00059</v>
      </c>
      <c r="D114" s="220" t="str">
        <f>IF('data input for RPA'!C116="","",'data input for RPA'!C116)</f>
        <v>Y</v>
      </c>
      <c r="E114" s="220" t="str">
        <f>IF('data input for RPA'!D116="","",'data input for RPA'!D116)</f>
        <v>Y</v>
      </c>
      <c r="F114" s="220">
        <f>IF('data input for RPA'!E116="","",'data input for RPA'!E116)</f>
        <v>0.01</v>
      </c>
      <c r="G114" s="220">
        <f>IF(D114="","",IF(E114="Y","",'data input for RPA'!F116))</f>
      </c>
      <c r="H114" s="236" t="str">
        <f t="shared" si="8"/>
        <v>MDL &gt; C, Interim Monitor, Go To Step 5</v>
      </c>
      <c r="I114" s="264">
        <f t="shared" si="10"/>
      </c>
      <c r="J114" s="220">
        <f t="shared" si="13"/>
      </c>
      <c r="K114" s="340"/>
      <c r="L114" s="220" t="str">
        <f>IF('data input for RPA'!I116="N","",'data input for RPA'!I116)</f>
        <v>Y</v>
      </c>
      <c r="M114" s="220">
        <f>IF(L114="","",IF('data input for RPA'!J116="Y","Y",""))</f>
      </c>
      <c r="N114" s="295">
        <f>IF(M114="Y",'data input for RPA'!K116,"")</f>
      </c>
      <c r="O114" s="402">
        <f>IF(M114="Y","",IF(L114="Y",'data input for RPA'!L116,""))</f>
        <v>6.6E-05</v>
      </c>
      <c r="P114" s="344">
        <f t="shared" si="11"/>
      </c>
      <c r="Q114" s="220" t="str">
        <f t="shared" si="12"/>
        <v>B&lt;C, Step 7</v>
      </c>
      <c r="R114" s="350">
        <f>'data input for RPA'!O116</f>
      </c>
      <c r="S114" s="220">
        <f t="shared" si="9"/>
      </c>
      <c r="T114" s="263" t="str">
        <f t="shared" si="14"/>
        <v>Effluent MDL &gt; C, Interim Monitor</v>
      </c>
      <c r="U114" s="398">
        <f>IF(WQBELs!AO121="","",WQBELs!AO121)</f>
      </c>
      <c r="V114" s="399">
        <f>IF(WQBELs!AP121="","",WQBELs!AP121)</f>
      </c>
    </row>
    <row r="115" spans="1:22" ht="12.75">
      <c r="A115" s="223">
        <v>109</v>
      </c>
      <c r="B115" s="229" t="s">
        <v>230</v>
      </c>
      <c r="C115" s="262">
        <f>Criteria!C121</f>
        <v>0.00059</v>
      </c>
      <c r="D115" s="220" t="str">
        <f>IF('data input for RPA'!C117="","",'data input for RPA'!C117)</f>
        <v>Y</v>
      </c>
      <c r="E115" s="220" t="str">
        <f>IF('data input for RPA'!D117="","",'data input for RPA'!D117)</f>
        <v>Y</v>
      </c>
      <c r="F115" s="220">
        <f>IF('data input for RPA'!E117="","",'data input for RPA'!E117)</f>
        <v>0.01</v>
      </c>
      <c r="G115" s="220">
        <f>IF(D115="","",IF(E115="Y","",'data input for RPA'!F117))</f>
      </c>
      <c r="H115" s="236" t="str">
        <f t="shared" si="8"/>
        <v>MDL &gt; C, Interim Monitor, Go To Step 5</v>
      </c>
      <c r="I115" s="264">
        <f t="shared" si="10"/>
      </c>
      <c r="J115" s="220">
        <f t="shared" si="13"/>
      </c>
      <c r="K115" s="340"/>
      <c r="L115" s="220" t="str">
        <f>IF('data input for RPA'!I117="N","",'data input for RPA'!I117)</f>
        <v>Y</v>
      </c>
      <c r="M115" s="220">
        <f>IF(L115="","",IF('data input for RPA'!J117="Y","Y",""))</f>
      </c>
      <c r="N115" s="295">
        <f>IF(M115="Y",'data input for RPA'!K117,"")</f>
      </c>
      <c r="O115" s="402">
        <f>IF(M115="Y","",IF(L115="Y",'data input for RPA'!L117,""))</f>
        <v>0.000693</v>
      </c>
      <c r="P115" s="344">
        <f t="shared" si="11"/>
      </c>
      <c r="Q115" s="220"/>
      <c r="R115" s="350">
        <f>'data input for RPA'!O117</f>
      </c>
      <c r="S115" s="220">
        <f t="shared" si="9"/>
      </c>
      <c r="T115" s="263" t="str">
        <f t="shared" si="14"/>
        <v>Effluent MDL &gt; C, Interim Monitor</v>
      </c>
      <c r="U115" s="398">
        <f>IF(WQBELs!AO122="","",WQBELs!AO122)</f>
      </c>
      <c r="V115" s="399">
        <f>IF(WQBELs!AP122="","",WQBELs!AP122)</f>
      </c>
    </row>
    <row r="116" spans="1:22" ht="12.75">
      <c r="A116" s="223">
        <v>110</v>
      </c>
      <c r="B116" s="224" t="s">
        <v>231</v>
      </c>
      <c r="C116" s="262">
        <f>Criteria!C122</f>
        <v>0.00084</v>
      </c>
      <c r="D116" s="220" t="str">
        <f>IF('data input for RPA'!C118="","",'data input for RPA'!C118)</f>
        <v>Y</v>
      </c>
      <c r="E116" s="220" t="str">
        <f>IF('data input for RPA'!D118="","",'data input for RPA'!D118)</f>
        <v>Y</v>
      </c>
      <c r="F116" s="220">
        <f>IF('data input for RPA'!E118="","",'data input for RPA'!E118)</f>
        <v>0.01</v>
      </c>
      <c r="G116" s="220">
        <f>IF(D116="","",IF(E116="Y","",'data input for RPA'!F118))</f>
      </c>
      <c r="H116" s="236" t="str">
        <f t="shared" si="8"/>
        <v>MDL &gt; C, Interim Monitor, Go To Step 5</v>
      </c>
      <c r="I116" s="264">
        <f t="shared" si="10"/>
      </c>
      <c r="J116" s="220">
        <f t="shared" si="13"/>
      </c>
      <c r="K116" s="340"/>
      <c r="L116" s="220" t="str">
        <f>IF('data input for RPA'!I118="N","",'data input for RPA'!I118)</f>
        <v>Y</v>
      </c>
      <c r="M116" s="220">
        <f>IF(L116="","",IF('data input for RPA'!J118="Y","Y",""))</f>
      </c>
      <c r="N116" s="295">
        <f>IF(M116="Y",'data input for RPA'!K118,"")</f>
      </c>
      <c r="O116" s="402">
        <f>IF(M116="Y","",IF(L116="Y",'data input for RPA'!L118,""))</f>
        <v>0.000313</v>
      </c>
      <c r="P116" s="344">
        <f t="shared" si="11"/>
      </c>
      <c r="Q116" s="220" t="str">
        <f t="shared" si="12"/>
        <v>B&lt;C, Step 7</v>
      </c>
      <c r="R116" s="350">
        <f>'data input for RPA'!O118</f>
      </c>
      <c r="S116" s="220">
        <f t="shared" si="9"/>
      </c>
      <c r="T116" s="263" t="str">
        <f t="shared" si="14"/>
        <v>Effluent MDL &gt; C, Interim Monitor</v>
      </c>
      <c r="U116" s="398">
        <f>IF(WQBELs!AO123="","",WQBELs!AO123)</f>
      </c>
      <c r="V116" s="399">
        <f>IF(WQBELs!AP123="","",WQBELs!AP123)</f>
      </c>
    </row>
    <row r="117" spans="1:22" ht="12.75">
      <c r="A117" s="223">
        <v>111</v>
      </c>
      <c r="B117" s="231" t="s">
        <v>250</v>
      </c>
      <c r="C117" s="262">
        <f>Criteria!C123</f>
        <v>0.00014</v>
      </c>
      <c r="D117" s="220" t="str">
        <f>IF('data input for RPA'!C119="","",'data input for RPA'!C119)</f>
        <v>Y</v>
      </c>
      <c r="E117" s="220" t="str">
        <f>IF('data input for RPA'!D119="","",'data input for RPA'!D119)</f>
        <v>Y</v>
      </c>
      <c r="F117" s="220">
        <f>IF('data input for RPA'!E119="","",'data input for RPA'!E119)</f>
        <v>0.01</v>
      </c>
      <c r="G117" s="220">
        <f>IF(D117="","",IF(E117="Y","",'data input for RPA'!F119))</f>
      </c>
      <c r="H117" s="236" t="str">
        <f t="shared" si="8"/>
        <v>MDL &gt; C, Interim Monitor, Go To Step 5</v>
      </c>
      <c r="I117" s="264">
        <f t="shared" si="10"/>
      </c>
      <c r="J117" s="220">
        <f t="shared" si="13"/>
      </c>
      <c r="K117" s="340"/>
      <c r="L117" s="220" t="str">
        <f>IF('data input for RPA'!I119="N","",'data input for RPA'!I119)</f>
        <v>Y</v>
      </c>
      <c r="M117" s="220">
        <f>IF(L117="","",IF('data input for RPA'!J119="Y","Y",""))</f>
      </c>
      <c r="N117" s="295">
        <f>IF(M117="Y",'data input for RPA'!K119,"")</f>
      </c>
      <c r="O117" s="402">
        <f>IF(M117="Y","",IF(L117="Y",'data input for RPA'!L119,""))</f>
        <v>0.000264</v>
      </c>
      <c r="P117" s="344">
        <f t="shared" si="11"/>
      </c>
      <c r="Q117" s="220"/>
      <c r="R117" s="350">
        <f>'data input for RPA'!O119</f>
      </c>
      <c r="S117" s="220">
        <f t="shared" si="9"/>
      </c>
      <c r="T117" s="263" t="str">
        <f t="shared" si="14"/>
        <v>Effluent MDL &gt; C, Interim Monitor</v>
      </c>
      <c r="U117" s="398">
        <f>IF(WQBELs!AO124="","",WQBELs!AO124)</f>
      </c>
      <c r="V117" s="399">
        <f>IF(WQBELs!AP124="","",WQBELs!AP124)</f>
      </c>
    </row>
    <row r="118" spans="1:22" ht="12.75">
      <c r="A118" s="223">
        <v>112</v>
      </c>
      <c r="B118" s="224" t="s">
        <v>175</v>
      </c>
      <c r="C118" s="262">
        <f>Criteria!C124</f>
        <v>0.0087</v>
      </c>
      <c r="D118" s="220" t="str">
        <f>IF('data input for RPA'!C120="","",'data input for RPA'!C120)</f>
        <v>Y</v>
      </c>
      <c r="E118" s="220" t="str">
        <f>IF('data input for RPA'!D120="","",'data input for RPA'!D120)</f>
        <v>Y</v>
      </c>
      <c r="F118" s="220">
        <f>IF('data input for RPA'!E120="","",'data input for RPA'!E120)</f>
        <v>0.01</v>
      </c>
      <c r="G118" s="220">
        <f>IF(D118="","",IF(E118="Y","",'data input for RPA'!F120))</f>
      </c>
      <c r="H118" s="236" t="str">
        <f t="shared" si="8"/>
        <v>MDL &gt; C, Interim Monitor, Go To Step 5</v>
      </c>
      <c r="I118" s="264">
        <f t="shared" si="10"/>
      </c>
      <c r="J118" s="220">
        <f t="shared" si="13"/>
      </c>
      <c r="K118" s="340"/>
      <c r="L118" s="220" t="str">
        <f>IF('data input for RPA'!I120="N","",'data input for RPA'!I120)</f>
        <v>Y</v>
      </c>
      <c r="M118" s="220">
        <f>IF(L118="","",IF('data input for RPA'!J120="Y","Y",""))</f>
      </c>
      <c r="N118" s="295">
        <f>IF(M118="Y",'data input for RPA'!K120,"")</f>
      </c>
      <c r="O118" s="402">
        <f>IF(M118="Y","",IF(L118="Y",'data input for RPA'!L120,""))</f>
        <v>3.1E-05</v>
      </c>
      <c r="P118" s="344">
        <f t="shared" si="11"/>
      </c>
      <c r="Q118" s="220" t="str">
        <f t="shared" si="12"/>
        <v>B&lt;C, Step 7</v>
      </c>
      <c r="R118" s="350">
        <f>'data input for RPA'!O120</f>
      </c>
      <c r="S118" s="220">
        <f t="shared" si="9"/>
      </c>
      <c r="T118" s="263" t="str">
        <f t="shared" si="14"/>
        <v>Effluent MDL &gt; C, Interim Monitor</v>
      </c>
      <c r="U118" s="398">
        <f>IF(WQBELs!AO125="","",WQBELs!AO125)</f>
      </c>
      <c r="V118" s="399">
        <f>IF(WQBELs!AP125="","",WQBELs!AP125)</f>
      </c>
    </row>
    <row r="119" spans="1:22" ht="12.75">
      <c r="A119" s="223">
        <v>113</v>
      </c>
      <c r="B119" s="224" t="s">
        <v>232</v>
      </c>
      <c r="C119" s="262">
        <f>Criteria!C125</f>
        <v>0.0087</v>
      </c>
      <c r="D119" s="220" t="str">
        <f>IF('data input for RPA'!C121="","",'data input for RPA'!C121)</f>
        <v>Y</v>
      </c>
      <c r="E119" s="220" t="str">
        <f>IF('data input for RPA'!D121="","",'data input for RPA'!D121)</f>
        <v>Y</v>
      </c>
      <c r="F119" s="220">
        <f>IF('data input for RPA'!E121="","",'data input for RPA'!E121)</f>
        <v>0.01</v>
      </c>
      <c r="G119" s="220">
        <f>IF(D119="","",IF(E119="Y","",'data input for RPA'!F121))</f>
      </c>
      <c r="H119" s="236" t="str">
        <f t="shared" si="8"/>
        <v>MDL &gt; C, Interim Monitor, Go To Step 5</v>
      </c>
      <c r="I119" s="264">
        <f t="shared" si="10"/>
      </c>
      <c r="J119" s="220">
        <f t="shared" si="13"/>
      </c>
      <c r="K119" s="340"/>
      <c r="L119" s="220" t="str">
        <f>IF('data input for RPA'!I121="N","",'data input for RPA'!I121)</f>
        <v>Y</v>
      </c>
      <c r="M119" s="220">
        <f>IF(L119="","",IF('data input for RPA'!J121="Y","Y",""))</f>
      </c>
      <c r="N119" s="295">
        <f>IF(M119="Y",'data input for RPA'!K121,"")</f>
      </c>
      <c r="O119" s="402">
        <f>IF(M119="Y","",IF(L119="Y",'data input for RPA'!L121,""))</f>
        <v>6.9E-05</v>
      </c>
      <c r="P119" s="344">
        <f t="shared" si="11"/>
      </c>
      <c r="Q119" s="220" t="str">
        <f t="shared" si="12"/>
        <v>B&lt;C, Step 7</v>
      </c>
      <c r="R119" s="350">
        <f>'data input for RPA'!O121</f>
      </c>
      <c r="S119" s="220">
        <f t="shared" si="9"/>
      </c>
      <c r="T119" s="263" t="str">
        <f t="shared" si="14"/>
        <v>Effluent MDL &gt; C, Interim Monitor</v>
      </c>
      <c r="U119" s="398">
        <f>IF(WQBELs!AO126="","",WQBELs!AO126)</f>
      </c>
      <c r="V119" s="399">
        <f>IF(WQBELs!AP126="","",WQBELs!AP126)</f>
      </c>
    </row>
    <row r="120" spans="1:22" ht="12.75">
      <c r="A120" s="223">
        <v>114</v>
      </c>
      <c r="B120" s="224" t="s">
        <v>177</v>
      </c>
      <c r="C120" s="262">
        <f>Criteria!C126</f>
        <v>240</v>
      </c>
      <c r="D120" s="220" t="str">
        <f>IF('data input for RPA'!C122="","",'data input for RPA'!C122)</f>
        <v>Y</v>
      </c>
      <c r="E120" s="220" t="str">
        <f>IF('data input for RPA'!D122="","",'data input for RPA'!D122)</f>
        <v>Y</v>
      </c>
      <c r="F120" s="220">
        <f>IF('data input for RPA'!E122="","",'data input for RPA'!E122)</f>
        <v>0.01</v>
      </c>
      <c r="G120" s="220">
        <f>IF(D120="","",IF(E120="Y","",'data input for RPA'!F122))</f>
      </c>
      <c r="H120" s="236" t="str">
        <f t="shared" si="8"/>
        <v>All ND MDL&lt;=C, MDL=MEC</v>
      </c>
      <c r="I120" s="264">
        <f t="shared" si="10"/>
        <v>0.01</v>
      </c>
      <c r="J120" s="220" t="str">
        <f t="shared" si="13"/>
        <v>MEC&lt;C, go to Step 5</v>
      </c>
      <c r="K120" s="340"/>
      <c r="L120" s="220" t="str">
        <f>IF('data input for RPA'!I122="N","",'data input for RPA'!I122)</f>
        <v>Y</v>
      </c>
      <c r="M120" s="220">
        <f>IF(L120="","",IF('data input for RPA'!J122="Y","Y",""))</f>
      </c>
      <c r="N120" s="295">
        <f>IF(M120="Y",'data input for RPA'!K122,"")</f>
      </c>
      <c r="O120" s="402">
        <f>IF(M120="Y","",IF(L120="Y",'data input for RPA'!L122,""))</f>
        <v>8.19E-05</v>
      </c>
      <c r="P120" s="344">
        <f t="shared" si="11"/>
      </c>
      <c r="Q120" s="220" t="str">
        <f t="shared" si="12"/>
        <v>B&lt;C, Step 7</v>
      </c>
      <c r="R120" s="350">
        <f>'data input for RPA'!O122</f>
      </c>
      <c r="S120" s="220">
        <f t="shared" si="9"/>
      </c>
      <c r="T120" s="263">
        <f t="shared" si="14"/>
      </c>
      <c r="U120" s="398">
        <f>IF(WQBELs!AO127="","",WQBELs!AO127)</f>
      </c>
      <c r="V120" s="399">
        <f>IF(WQBELs!AP127="","",WQBELs!AP127)</f>
      </c>
    </row>
    <row r="121" spans="1:22" ht="12.75">
      <c r="A121" s="223">
        <v>115</v>
      </c>
      <c r="B121" s="224" t="s">
        <v>178</v>
      </c>
      <c r="C121" s="262">
        <f>Criteria!C127</f>
        <v>0.0023</v>
      </c>
      <c r="D121" s="220" t="str">
        <f>IF('data input for RPA'!C123="","",'data input for RPA'!C123)</f>
        <v>Y</v>
      </c>
      <c r="E121" s="220" t="str">
        <f>IF('data input for RPA'!D123="","",'data input for RPA'!D123)</f>
        <v>Y</v>
      </c>
      <c r="F121" s="220">
        <f>IF('data input for RPA'!E123="","",'data input for RPA'!E123)</f>
        <v>0.01</v>
      </c>
      <c r="G121" s="220">
        <f>IF(D121="","",IF(E121="Y","",'data input for RPA'!F123))</f>
      </c>
      <c r="H121" s="236" t="str">
        <f t="shared" si="8"/>
        <v>MDL &gt; C, Interim Monitor, Go To Step 5</v>
      </c>
      <c r="I121" s="264">
        <f t="shared" si="10"/>
      </c>
      <c r="J121" s="220">
        <f t="shared" si="13"/>
      </c>
      <c r="K121" s="340"/>
      <c r="L121" s="220" t="str">
        <f>IF('data input for RPA'!I123="N","",'data input for RPA'!I123)</f>
        <v>Y</v>
      </c>
      <c r="M121" s="220">
        <f>IF(L121="","",IF('data input for RPA'!J123="Y","Y",""))</f>
      </c>
      <c r="N121" s="295">
        <f>IF(M121="Y",'data input for RPA'!K123,"")</f>
      </c>
      <c r="O121" s="402">
        <f>IF(M121="Y","",IF(L121="Y",'data input for RPA'!L123,""))</f>
        <v>3.6E-05</v>
      </c>
      <c r="P121" s="344">
        <f t="shared" si="11"/>
      </c>
      <c r="Q121" s="220" t="str">
        <f t="shared" si="12"/>
        <v>B&lt;C, Step 7</v>
      </c>
      <c r="R121" s="350">
        <f>'data input for RPA'!O123</f>
      </c>
      <c r="S121" s="220">
        <f t="shared" si="9"/>
      </c>
      <c r="T121" s="263" t="str">
        <f t="shared" si="14"/>
        <v>Effluent MDL &gt; C, Interim Monitor</v>
      </c>
      <c r="U121" s="398">
        <f>IF(WQBELs!AO128="","",WQBELs!AO128)</f>
      </c>
      <c r="V121" s="399">
        <f>IF(WQBELs!AP128="","",WQBELs!AP128)</f>
      </c>
    </row>
    <row r="122" spans="1:22" ht="12.75">
      <c r="A122" s="223">
        <v>116</v>
      </c>
      <c r="B122" s="224" t="s">
        <v>179</v>
      </c>
      <c r="C122" s="262">
        <f>Criteria!C128</f>
        <v>0.81</v>
      </c>
      <c r="D122" s="220" t="str">
        <f>IF('data input for RPA'!C124="","",'data input for RPA'!C124)</f>
        <v>Y</v>
      </c>
      <c r="E122" s="220" t="str">
        <f>IF('data input for RPA'!D124="","",'data input for RPA'!D124)</f>
        <v>Y</v>
      </c>
      <c r="F122" s="220">
        <f>IF('data input for RPA'!E124="","",'data input for RPA'!E124)</f>
        <v>0.01</v>
      </c>
      <c r="G122" s="220">
        <f>IF(D122="","",IF(E122="Y","",'data input for RPA'!F124))</f>
      </c>
      <c r="H122" s="236" t="str">
        <f t="shared" si="8"/>
        <v>All ND MDL&lt;=C, MDL=MEC</v>
      </c>
      <c r="I122" s="264">
        <f t="shared" si="10"/>
        <v>0.01</v>
      </c>
      <c r="J122" s="220" t="str">
        <f t="shared" si="13"/>
        <v>MEC&lt;C, go to Step 5</v>
      </c>
      <c r="K122" s="340"/>
      <c r="L122" s="220">
        <f>IF('data input for RPA'!I124="N","",'data input for RPA'!I124)</f>
      </c>
      <c r="M122" s="220">
        <f>IF(L122="","",IF('data input for RPA'!J124="Y","Y",""))</f>
      </c>
      <c r="N122" s="295">
        <f>IF(M122="Y",'data input for RPA'!K124,"")</f>
      </c>
      <c r="O122" s="402">
        <f>IF(M122="Y","",IF(L122="Y",'data input for RPA'!L124,""))</f>
      </c>
      <c r="P122" s="344">
        <f t="shared" si="11"/>
      </c>
      <c r="Q122" s="220" t="str">
        <f t="shared" si="12"/>
        <v>No detected value of B, Step 7</v>
      </c>
      <c r="R122" s="350">
        <f>'data input for RPA'!O124</f>
      </c>
      <c r="S122" s="220">
        <f t="shared" si="9"/>
      </c>
      <c r="T122" s="263">
        <f t="shared" si="14"/>
      </c>
      <c r="U122" s="398">
        <f>IF(WQBELs!AO129="","",WQBELs!AO129)</f>
      </c>
      <c r="V122" s="399">
        <f>IF(WQBELs!AP129="","",WQBELs!AP129)</f>
      </c>
    </row>
    <row r="123" spans="1:22" ht="12.75">
      <c r="A123" s="223">
        <v>117</v>
      </c>
      <c r="B123" s="224" t="s">
        <v>180</v>
      </c>
      <c r="C123" s="262">
        <f>Criteria!C129</f>
        <v>0.00021</v>
      </c>
      <c r="D123" s="220" t="str">
        <f>IF('data input for RPA'!C125="","",'data input for RPA'!C125)</f>
        <v>Y</v>
      </c>
      <c r="E123" s="220" t="str">
        <f>IF('data input for RPA'!D125="","",'data input for RPA'!D125)</f>
        <v>Y</v>
      </c>
      <c r="F123" s="220">
        <f>IF('data input for RPA'!E125="","",'data input for RPA'!E125)</f>
        <v>0.01</v>
      </c>
      <c r="G123" s="220">
        <f>IF(D123="","",IF(E123="Y","",'data input for RPA'!F125))</f>
      </c>
      <c r="H123" s="236" t="str">
        <f t="shared" si="8"/>
        <v>MDL &gt; C, Interim Monitor, Go To Step 5</v>
      </c>
      <c r="I123" s="264">
        <f t="shared" si="10"/>
      </c>
      <c r="J123" s="220">
        <f t="shared" si="13"/>
      </c>
      <c r="K123" s="340"/>
      <c r="L123" s="220" t="str">
        <f>IF('data input for RPA'!I125="N","",'data input for RPA'!I125)</f>
        <v>Y</v>
      </c>
      <c r="M123" s="220">
        <f>IF(L123="","",IF('data input for RPA'!J125="Y","Y",""))</f>
      </c>
      <c r="N123" s="295">
        <f>IF(M123="Y",'data input for RPA'!K125,"")</f>
      </c>
      <c r="O123" s="402">
        <f>IF(M123="Y","",IF(L123="Y",'data input for RPA'!L125,""))</f>
        <v>1.9E-05</v>
      </c>
      <c r="P123" s="344">
        <f t="shared" si="11"/>
      </c>
      <c r="Q123" s="220" t="str">
        <f t="shared" si="12"/>
        <v>B&lt;C, Step 7</v>
      </c>
      <c r="R123" s="350">
        <f>'data input for RPA'!O125</f>
      </c>
      <c r="S123" s="220">
        <f t="shared" si="9"/>
      </c>
      <c r="T123" s="263" t="str">
        <f t="shared" si="14"/>
        <v>Effluent MDL &gt; C, Interim Monitor</v>
      </c>
      <c r="U123" s="398">
        <f>IF(WQBELs!AO130="","",WQBELs!AO130)</f>
      </c>
      <c r="V123" s="399">
        <f>IF(WQBELs!AP130="","",WQBELs!AP130)</f>
      </c>
    </row>
    <row r="124" spans="1:22" ht="12.75">
      <c r="A124" s="223">
        <v>118</v>
      </c>
      <c r="B124" s="224" t="s">
        <v>233</v>
      </c>
      <c r="C124" s="262">
        <f>Criteria!C130</f>
        <v>0.00011</v>
      </c>
      <c r="D124" s="220" t="str">
        <f>IF('data input for RPA'!C126="","",'data input for RPA'!C126)</f>
        <v>Y</v>
      </c>
      <c r="E124" s="220" t="str">
        <f>IF('data input for RPA'!D126="","",'data input for RPA'!D126)</f>
        <v>N</v>
      </c>
      <c r="F124" s="220">
        <f>IF('data input for RPA'!E126="","",'data input for RPA'!E126)</f>
      </c>
      <c r="G124" s="220">
        <f>IF(D124="","",IF(E124="Y","",'data input for RPA'!F126))</f>
        <v>0.1</v>
      </c>
      <c r="H124" s="236">
        <f t="shared" si="8"/>
      </c>
      <c r="I124" s="264">
        <f t="shared" si="10"/>
        <v>0.1</v>
      </c>
      <c r="J124" s="220" t="str">
        <f t="shared" si="13"/>
        <v>Y</v>
      </c>
      <c r="K124" s="340"/>
      <c r="L124" s="220" t="str">
        <f>IF('data input for RPA'!I126="N","",'data input for RPA'!I126)</f>
        <v>Y</v>
      </c>
      <c r="M124" s="220">
        <f>IF(L124="","",IF('data input for RPA'!J126="Y","Y",""))</f>
      </c>
      <c r="N124" s="295">
        <f>IF(M124="Y",'data input for RPA'!K126,"")</f>
      </c>
      <c r="O124" s="402">
        <f>IF(M124="Y","",IF(L124="Y",'data input for RPA'!L126,""))</f>
        <v>2.458E-05</v>
      </c>
      <c r="P124" s="344">
        <f t="shared" si="11"/>
      </c>
      <c r="Q124" s="220" t="str">
        <f t="shared" si="12"/>
        <v>B&lt;C, Step 7</v>
      </c>
      <c r="R124" s="350">
        <f>'data input for RPA'!O126</f>
      </c>
      <c r="S124" s="220" t="str">
        <f t="shared" si="9"/>
        <v>Y</v>
      </c>
      <c r="T124" s="263" t="str">
        <f t="shared" si="14"/>
        <v>MEC =&gt; C  [0.100000 ug/l  vs 0.000110 ug/l ]</v>
      </c>
      <c r="U124" s="398">
        <f>IF(WQBELs!AO131="","",WQBELs!AO131)</f>
      </c>
      <c r="V124" s="399">
        <f>IF(WQBELs!AP131="","",WQBELs!AP131)</f>
      </c>
    </row>
    <row r="125" spans="1:22" ht="12.75">
      <c r="A125" s="239" t="s">
        <v>182</v>
      </c>
      <c r="B125" s="240" t="s">
        <v>251</v>
      </c>
      <c r="C125" s="262">
        <f>Criteria!C131</f>
        <v>0.00017</v>
      </c>
      <c r="D125" s="220" t="str">
        <f>IF('data input for RPA'!C127="","",'data input for RPA'!C127)</f>
        <v>Y</v>
      </c>
      <c r="E125" s="220" t="str">
        <f>IF('data input for RPA'!D127="","",'data input for RPA'!D127)</f>
        <v>N</v>
      </c>
      <c r="F125" s="220">
        <f>IF('data input for RPA'!E127="","",'data input for RPA'!E127)</f>
      </c>
      <c r="G125" s="220">
        <f>IF(D125="","",IF(E125="Y","",'data input for RPA'!F127))</f>
        <v>0.000651</v>
      </c>
      <c r="H125" s="236">
        <f t="shared" si="8"/>
      </c>
      <c r="I125" s="264">
        <f t="shared" si="10"/>
        <v>0.000651</v>
      </c>
      <c r="J125" s="220" t="str">
        <f t="shared" si="13"/>
        <v>Y</v>
      </c>
      <c r="K125" s="340"/>
      <c r="L125" s="220">
        <f>IF('data input for RPA'!I127="N","",'data input for RPA'!I127)</f>
      </c>
      <c r="M125" s="220">
        <f>IF(L125="","",IF('data input for RPA'!J127="Y","Y",""))</f>
      </c>
      <c r="N125" s="295">
        <f>IF(M125="Y",'data input for RPA'!K127,"")</f>
      </c>
      <c r="O125" s="402">
        <f>IF(M125="Y","",IF(L125="Y",'data input for RPA'!L127,""))</f>
      </c>
      <c r="P125" s="344">
        <f t="shared" si="11"/>
      </c>
      <c r="Q125" s="220" t="str">
        <f t="shared" si="12"/>
        <v>No detected value of B, Step 7</v>
      </c>
      <c r="R125" s="350">
        <f>'data input for RPA'!O127</f>
      </c>
      <c r="S125" s="220" t="s">
        <v>37</v>
      </c>
      <c r="T125" s="263" t="str">
        <f t="shared" si="14"/>
        <v>MEC =&gt; C  [0.000651 ug/l  vs 0.000170 ug/l ]</v>
      </c>
      <c r="U125" s="398">
        <v>0.003410521567139391</v>
      </c>
      <c r="V125" s="399">
        <v>0.0017000000000000001</v>
      </c>
    </row>
    <row r="126" spans="1:22" ht="12.75">
      <c r="A126" s="227">
        <v>126</v>
      </c>
      <c r="B126" s="265" t="s">
        <v>20</v>
      </c>
      <c r="C126" s="262">
        <f>Criteria!C132</f>
        <v>0.0002</v>
      </c>
      <c r="D126" s="220" t="str">
        <f>IF('data input for RPA'!C128="","",'data input for RPA'!C128)</f>
        <v>Y</v>
      </c>
      <c r="E126" s="220" t="str">
        <f>IF('data input for RPA'!D128="","",'data input for RPA'!D128)</f>
        <v>Y</v>
      </c>
      <c r="F126" s="220">
        <f>IF('data input for RPA'!E128="","",'data input for RPA'!E128)</f>
        <v>0.05</v>
      </c>
      <c r="G126" s="220">
        <f>IF(D126="","",IF(E126="Y","",'data input for RPA'!F128))</f>
      </c>
      <c r="H126" s="236" t="str">
        <f t="shared" si="8"/>
        <v>MDL &gt; C, Interim Monitor, Go To Step 5</v>
      </c>
      <c r="I126" s="264">
        <f t="shared" si="10"/>
      </c>
      <c r="J126" s="220">
        <f t="shared" si="13"/>
      </c>
      <c r="K126" s="340"/>
      <c r="L126" s="220">
        <f>IF('data input for RPA'!I128="N","",'data input for RPA'!I128)</f>
      </c>
      <c r="M126" s="220">
        <f>IF(L126="","",IF('data input for RPA'!J128="Y","Y",""))</f>
      </c>
      <c r="N126" s="295">
        <f>IF(M126="Y",'data input for RPA'!K128,"")</f>
      </c>
      <c r="O126" s="402">
        <f>IF(M126="Y","",IF(L126="Y",'data input for RPA'!L128,""))</f>
      </c>
      <c r="P126" s="344">
        <f t="shared" si="11"/>
      </c>
      <c r="Q126" s="220" t="str">
        <f t="shared" si="12"/>
        <v>No detected value of B, Step 7</v>
      </c>
      <c r="R126" s="350">
        <f>'data input for RPA'!O128</f>
      </c>
      <c r="S126" s="220">
        <f t="shared" si="9"/>
      </c>
      <c r="T126" s="263" t="str">
        <f t="shared" si="14"/>
        <v>Effluent MDL &gt; C, Interim Monitor</v>
      </c>
      <c r="U126" s="398">
        <f>IF(WQBELs!AO133="","",WQBELs!AO133)</f>
      </c>
      <c r="V126" s="399">
        <f>IF(WQBELs!AP133="","",WQBELs!AP133)</f>
      </c>
    </row>
    <row r="127" spans="1:22" ht="12.75">
      <c r="A127" s="227"/>
      <c r="B127" s="265" t="s">
        <v>235</v>
      </c>
      <c r="C127" s="262">
        <f>Criteria!C133</f>
        <v>0.01</v>
      </c>
      <c r="D127" s="220">
        <f>IF('data input for RPA'!C129="","",'data input for RPA'!C129)</f>
      </c>
      <c r="E127" s="220">
        <f>IF('data input for RPA'!D129="","",'data input for RPA'!D129)</f>
      </c>
      <c r="F127" s="220">
        <f>IF('data input for RPA'!E129="","",'data input for RPA'!E129)</f>
      </c>
      <c r="G127" s="220">
        <f>IF(D127="","",IF(E127="Y","",'data input for RPA'!F129))</f>
      </c>
      <c r="H127" s="236" t="str">
        <f>IF(C127="No Criteria","No Criteria",IF(E127="Y",IF(F127&gt;C127,"MDL &gt; C, Interim Monitor, Go To Step 5","All ND MDL&lt;=C, MDL=MEC"),IF(D127="Y","","No Effluent Data")))</f>
        <v>No Effluent Data</v>
      </c>
      <c r="I127" s="264">
        <f t="shared" si="10"/>
      </c>
      <c r="J127" s="220">
        <f t="shared" si="13"/>
      </c>
      <c r="K127" s="340"/>
      <c r="L127" s="220" t="str">
        <f>IF('data input for RPA'!I129="N","",'data input for RPA'!I129)</f>
        <v>Y</v>
      </c>
      <c r="M127" s="220" t="str">
        <f>IF(L127="","",IF('data input for RPA'!J129="Y","Y",""))</f>
        <v>Y</v>
      </c>
      <c r="N127" s="295">
        <f>IF(M127="Y",'data input for RPA'!K129,"")</f>
        <v>0.001</v>
      </c>
      <c r="O127" s="402">
        <f>IF(M127="Y","",IF(L127="Y",'data input for RPA'!L129,""))</f>
      </c>
      <c r="P127" s="344" t="b">
        <f t="shared" si="11"/>
        <v>0</v>
      </c>
      <c r="Q127" s="220" t="str">
        <f t="shared" si="12"/>
        <v>No detected value of B, Step 7</v>
      </c>
      <c r="R127" s="350">
        <f>'data input for RPA'!O129</f>
      </c>
      <c r="S127" s="220">
        <f t="shared" si="9"/>
      </c>
      <c r="T127" s="263" t="str">
        <f>IF(C127="No Criteria","Uo - No Criteria",IF(J127="Y","MEC =&gt; C  ["&amp;TEXT(I127,"0.000000")&amp;" ug/l  vs "&amp;TEXT(C127,"0.000000")&amp;" ug/l ]",IF(Q127="Y","B  &gt; C  ["&amp;TEXT(O127,"0.000000")&amp;" ug/l vs "&amp;TEXT(C127,"0.000000")&amp;"ug/l]",IF(R127="Y","RP by Trigger III and Staff BPJ",IF(D127="",IF(L127="","Ud, No effluent data, no background data","Ud-No Effluent Data"),IF(H127="MDL &gt; C, Interim Monitor, Go To Step 5","Effluent MDL &gt; C, Interim Monitor",""))))))</f>
        <v>Ud-No Effluent Data</v>
      </c>
      <c r="U127" s="398">
        <f>IF(WQBELs!AO134="","",WQBELs!AO134)</f>
      </c>
      <c r="V127" s="399">
        <f>IF(WQBELs!AP134="","",WQBELs!AP134)</f>
      </c>
    </row>
    <row r="128" spans="1:22" ht="12.75">
      <c r="A128" s="274"/>
      <c r="B128" s="272" t="s">
        <v>269</v>
      </c>
      <c r="C128" s="262">
        <f>Criteria!C134</f>
        <v>15</v>
      </c>
      <c r="D128" s="220" t="str">
        <f>IF('data input for RPA'!C130="","",'data input for RPA'!C130)</f>
        <v>Y</v>
      </c>
      <c r="E128" s="220" t="str">
        <f>IF('data input for RPA'!D130="","",'data input for RPA'!D130)</f>
        <v>Y</v>
      </c>
      <c r="F128" s="220">
        <f>IF('data input for RPA'!E130="","",'data input for RPA'!E130)</f>
        <v>0.1</v>
      </c>
      <c r="G128" s="220">
        <f>IF(D128="","",IF(E128="Y","",'data input for RPA'!F130))</f>
      </c>
      <c r="H128" s="236" t="str">
        <f>IF(C128="No Criteria","No Criteria",IF(E128="Y",IF(F128&gt;C128,"MDL &gt; C, Interim Monitor, Go To Step 5","All ND MDL&lt;=C, MDL=MEC"),IF(D128="Y","","No Effluent Data")))</f>
        <v>All ND MDL&lt;=C, MDL=MEC</v>
      </c>
      <c r="I128" s="264">
        <f t="shared" si="10"/>
        <v>0.1</v>
      </c>
      <c r="J128" s="220" t="str">
        <f t="shared" si="13"/>
        <v>MEC&lt;C, go to Step 5</v>
      </c>
      <c r="K128" s="340"/>
      <c r="L128" s="220" t="str">
        <f>IF('data input for RPA'!I130="N","",'data input for RPA'!I130)</f>
        <v>Y</v>
      </c>
      <c r="M128" s="220">
        <f>IF(L128="","",IF('data input for RPA'!J130="Y","Y",""))</f>
      </c>
      <c r="N128" s="295">
        <f>IF(M128="Y",'data input for RPA'!K130,"")</f>
      </c>
      <c r="O128" s="402">
        <f>IF(M128="Y","",IF(L128="Y",'data input for RPA'!L130,""))</f>
        <v>0.26</v>
      </c>
      <c r="P128" s="344" t="str">
        <f>IF(L128="","",IF(L128="N","",IF(M128="N",IF(O128&gt;C128,"Y",""),IF(N128&gt;C128,"B MDLs&gt;C, Monitoring Required",""))))</f>
        <v>B MDLs&gt;C, Monitoring Required</v>
      </c>
      <c r="Q128" s="220" t="str">
        <f t="shared" si="12"/>
        <v>B&lt;C, Step 7</v>
      </c>
      <c r="R128" s="350">
        <f>'data input for RPA'!O130</f>
        <v>0</v>
      </c>
      <c r="S128" s="220">
        <f t="shared" si="9"/>
      </c>
      <c r="T128" s="263"/>
      <c r="U128" s="398">
        <f>IF(WQBELs!AO135="","",WQBELs!AO135)</f>
      </c>
      <c r="V128" s="399">
        <f>IF(WQBELs!AP135="","",WQBELs!AP135)</f>
      </c>
    </row>
    <row r="129" spans="1:20" ht="12.75">
      <c r="A129" s="266"/>
      <c r="B129" s="267" t="s">
        <v>252</v>
      </c>
      <c r="C129" s="268"/>
      <c r="D129" s="266"/>
      <c r="E129" s="266"/>
      <c r="F129" s="266"/>
      <c r="G129" s="266"/>
      <c r="H129" s="266"/>
      <c r="J129" s="266"/>
      <c r="K129" s="266"/>
      <c r="L129" s="345"/>
      <c r="M129" s="332"/>
      <c r="N129" s="266"/>
      <c r="O129" s="332"/>
      <c r="P129" s="345"/>
      <c r="Q129" s="267"/>
      <c r="R129" s="332"/>
      <c r="S129" s="332"/>
      <c r="T129" s="266"/>
    </row>
    <row r="130" spans="2:20" ht="12.75">
      <c r="B130" s="269" t="s">
        <v>107</v>
      </c>
      <c r="C130" s="268"/>
      <c r="S130" s="332"/>
      <c r="T130" s="266"/>
    </row>
    <row r="131" spans="2:20" ht="12.75">
      <c r="B131" s="179" t="s">
        <v>108</v>
      </c>
      <c r="C131" s="268"/>
      <c r="S131" s="332"/>
      <c r="T131" s="266"/>
    </row>
    <row r="132" spans="2:20" ht="12.75">
      <c r="B132" s="179" t="s">
        <v>109</v>
      </c>
      <c r="C132" s="268"/>
      <c r="S132" s="332"/>
      <c r="T132" s="266"/>
    </row>
    <row r="133" spans="2:20" ht="12.75">
      <c r="B133" s="270" t="s">
        <v>110</v>
      </c>
      <c r="C133" s="268"/>
      <c r="D133" s="179" t="s">
        <v>253</v>
      </c>
      <c r="E133" s="179"/>
      <c r="F133" s="179"/>
      <c r="G133" s="179"/>
      <c r="H133" s="179"/>
      <c r="I133" s="327"/>
      <c r="J133" s="179"/>
      <c r="K133" s="179"/>
      <c r="L133" s="347"/>
      <c r="M133" s="334"/>
      <c r="N133" s="179"/>
      <c r="O133" s="334"/>
      <c r="P133" s="347"/>
      <c r="R133" s="334"/>
      <c r="S133" s="336"/>
      <c r="T133" s="267"/>
    </row>
    <row r="134" spans="2:20" ht="12.75">
      <c r="B134" s="270"/>
      <c r="C134" s="268"/>
      <c r="D134" s="179" t="s">
        <v>279</v>
      </c>
      <c r="E134" s="179"/>
      <c r="F134" s="179"/>
      <c r="G134" s="179"/>
      <c r="H134" s="179"/>
      <c r="I134" s="327"/>
      <c r="J134" s="179"/>
      <c r="K134" s="179"/>
      <c r="L134" s="347"/>
      <c r="M134" s="334"/>
      <c r="N134" s="179"/>
      <c r="O134" s="334"/>
      <c r="P134" s="347"/>
      <c r="R134" s="334"/>
      <c r="S134" s="336"/>
      <c r="T134" s="267"/>
    </row>
    <row r="135" spans="2:20" ht="12.75">
      <c r="B135" s="179"/>
      <c r="C135" s="268"/>
      <c r="D135" s="179" t="s">
        <v>254</v>
      </c>
      <c r="E135" s="179"/>
      <c r="F135" s="179"/>
      <c r="G135" s="179"/>
      <c r="H135" s="179"/>
      <c r="I135" s="327"/>
      <c r="J135" s="179"/>
      <c r="K135" s="179"/>
      <c r="L135" s="347"/>
      <c r="M135" s="334"/>
      <c r="N135" s="179"/>
      <c r="O135" s="334"/>
      <c r="P135" s="347"/>
      <c r="R135" s="334"/>
      <c r="S135" s="336"/>
      <c r="T135" s="267"/>
    </row>
    <row r="136" spans="2:20" ht="12.75">
      <c r="B136" s="179"/>
      <c r="C136" s="268"/>
      <c r="D136" s="179"/>
      <c r="E136" s="179"/>
      <c r="F136" s="179"/>
      <c r="G136" s="179"/>
      <c r="H136" s="179"/>
      <c r="I136" s="327"/>
      <c r="J136" s="179"/>
      <c r="K136" s="179"/>
      <c r="L136" s="347"/>
      <c r="M136" s="334"/>
      <c r="N136" s="179"/>
      <c r="O136" s="334"/>
      <c r="P136" s="347"/>
      <c r="R136" s="334"/>
      <c r="S136" s="336"/>
      <c r="T136" s="267"/>
    </row>
    <row r="137" spans="3:20" ht="12.75">
      <c r="C137" s="268"/>
      <c r="D137" s="179"/>
      <c r="S137" s="332"/>
      <c r="T137" s="266"/>
    </row>
    <row r="138" spans="3:20" ht="12.75">
      <c r="C138" s="268"/>
      <c r="S138" s="332"/>
      <c r="T138" s="266"/>
    </row>
    <row r="139" spans="3:20" ht="12.75">
      <c r="C139" s="271"/>
      <c r="E139" s="238"/>
      <c r="F139" s="238"/>
      <c r="G139" s="238"/>
      <c r="H139" s="238"/>
      <c r="I139" s="328"/>
      <c r="J139" s="238"/>
      <c r="K139" s="238"/>
      <c r="L139" s="348"/>
      <c r="M139" s="335"/>
      <c r="N139" s="238"/>
      <c r="O139" s="335"/>
      <c r="P139" s="348"/>
      <c r="Q139" s="273"/>
      <c r="R139" s="335"/>
      <c r="S139" s="354"/>
      <c r="T139" s="274"/>
    </row>
    <row r="140" spans="3:20" ht="12.75">
      <c r="C140" s="268"/>
      <c r="D140" s="238"/>
      <c r="S140" s="332"/>
      <c r="T140" s="266"/>
    </row>
    <row r="141" spans="3:20" ht="12.75">
      <c r="C141" s="268"/>
      <c r="S141" s="332"/>
      <c r="T141" s="266"/>
    </row>
    <row r="142" spans="3:20" ht="12.75">
      <c r="C142" s="268"/>
      <c r="S142" s="332"/>
      <c r="T142" s="266"/>
    </row>
    <row r="143" spans="3:20" ht="12.75">
      <c r="C143" s="268"/>
      <c r="S143" s="332"/>
      <c r="T143" s="266"/>
    </row>
    <row r="144" spans="3:20" ht="12.75">
      <c r="C144" s="268"/>
      <c r="S144" s="332"/>
      <c r="T144" s="266"/>
    </row>
    <row r="145" spans="3:20" ht="12.75">
      <c r="C145" s="268"/>
      <c r="S145" s="332"/>
      <c r="T145" s="266"/>
    </row>
    <row r="146" spans="3:20" ht="12.75">
      <c r="C146" s="268"/>
      <c r="S146" s="332"/>
      <c r="T146" s="266"/>
    </row>
    <row r="147" spans="3:20" ht="12.75">
      <c r="C147" s="268"/>
      <c r="S147" s="332"/>
      <c r="T147" s="266"/>
    </row>
    <row r="148" spans="3:20" ht="12.75">
      <c r="C148" s="268"/>
      <c r="S148" s="332"/>
      <c r="T148" s="266"/>
    </row>
    <row r="149" spans="3:20" ht="12.75">
      <c r="C149" s="268"/>
      <c r="S149" s="332"/>
      <c r="T149" s="266"/>
    </row>
    <row r="150" spans="3:20" ht="12.75">
      <c r="C150" s="268"/>
      <c r="S150" s="332"/>
      <c r="T150" s="266"/>
    </row>
    <row r="151" spans="3:20" ht="12.75">
      <c r="C151" s="268"/>
      <c r="S151" s="332"/>
      <c r="T151" s="266"/>
    </row>
    <row r="152" spans="3:20" ht="12.75">
      <c r="C152" s="268"/>
      <c r="S152" s="332"/>
      <c r="T152" s="266"/>
    </row>
    <row r="153" spans="3:20" ht="12.75">
      <c r="C153" s="268"/>
      <c r="S153" s="332"/>
      <c r="T153" s="266"/>
    </row>
    <row r="154" spans="3:20" ht="12.75">
      <c r="C154" s="268"/>
      <c r="S154" s="332"/>
      <c r="T154" s="266"/>
    </row>
    <row r="155" spans="3:20" ht="12.75">
      <c r="C155" s="275"/>
      <c r="S155" s="332"/>
      <c r="T155" s="266"/>
    </row>
    <row r="156" spans="3:20" ht="12.75">
      <c r="C156" s="275"/>
      <c r="S156" s="332"/>
      <c r="T156" s="266"/>
    </row>
    <row r="157" spans="3:20" ht="12.75">
      <c r="C157" s="275"/>
      <c r="S157" s="332"/>
      <c r="T157" s="266"/>
    </row>
    <row r="158" spans="3:20" ht="12.75">
      <c r="C158" s="275"/>
      <c r="S158" s="332"/>
      <c r="T158" s="266"/>
    </row>
    <row r="159" spans="3:20" ht="12.75">
      <c r="C159" s="275"/>
      <c r="S159" s="332"/>
      <c r="T159" s="266"/>
    </row>
    <row r="160" spans="3:20" ht="12.75">
      <c r="C160" s="275"/>
      <c r="S160" s="332"/>
      <c r="T160" s="266"/>
    </row>
    <row r="161" spans="3:20" ht="12.75">
      <c r="C161" s="275"/>
      <c r="S161" s="332"/>
      <c r="T161" s="266"/>
    </row>
    <row r="162" spans="3:20" ht="12.75">
      <c r="C162" s="275"/>
      <c r="S162" s="332"/>
      <c r="T162" s="266"/>
    </row>
    <row r="163" spans="3:20" ht="12.75">
      <c r="C163" s="275"/>
      <c r="S163" s="332"/>
      <c r="T163" s="266"/>
    </row>
    <row r="164" spans="3:20" ht="12.75">
      <c r="C164" s="275"/>
      <c r="S164" s="332"/>
      <c r="T164" s="266"/>
    </row>
    <row r="165" spans="3:20" ht="12.75">
      <c r="C165" s="275"/>
      <c r="S165" s="332"/>
      <c r="T165" s="266"/>
    </row>
    <row r="166" spans="3:20" ht="12.75">
      <c r="C166" s="275"/>
      <c r="S166" s="332"/>
      <c r="T166" s="266"/>
    </row>
    <row r="167" spans="3:20" ht="12.75">
      <c r="C167" s="275"/>
      <c r="S167" s="332"/>
      <c r="T167" s="266"/>
    </row>
    <row r="168" spans="3:20" ht="12.75">
      <c r="C168" s="275"/>
      <c r="S168" s="332"/>
      <c r="T168" s="266"/>
    </row>
    <row r="169" spans="3:20" ht="12.75">
      <c r="C169" s="275"/>
      <c r="S169" s="332"/>
      <c r="T169" s="266"/>
    </row>
    <row r="170" spans="3:20" ht="12.75">
      <c r="C170" s="275"/>
      <c r="S170" s="332"/>
      <c r="T170" s="266"/>
    </row>
    <row r="171" spans="3:20" ht="12.75">
      <c r="C171" s="275"/>
      <c r="S171" s="332"/>
      <c r="T171" s="266"/>
    </row>
    <row r="172" spans="3:20" ht="12.75">
      <c r="C172" s="275"/>
      <c r="S172" s="332"/>
      <c r="T172" s="266"/>
    </row>
    <row r="173" spans="3:20" ht="12.75">
      <c r="C173" s="275"/>
      <c r="S173" s="332"/>
      <c r="T173" s="266"/>
    </row>
    <row r="174" spans="3:20" ht="12.75">
      <c r="C174" s="275"/>
      <c r="S174" s="332"/>
      <c r="T174" s="266"/>
    </row>
    <row r="175" spans="3:20" ht="12.75">
      <c r="C175" s="275"/>
      <c r="S175" s="332"/>
      <c r="T175" s="266"/>
    </row>
    <row r="176" spans="3:20" ht="12.75">
      <c r="C176" s="275"/>
      <c r="S176" s="332"/>
      <c r="T176" s="266"/>
    </row>
    <row r="177" spans="3:20" ht="12.75">
      <c r="C177" s="275"/>
      <c r="S177" s="332"/>
      <c r="T177" s="266"/>
    </row>
    <row r="178" spans="3:20" ht="12.75">
      <c r="C178" s="275"/>
      <c r="S178" s="332"/>
      <c r="T178" s="266"/>
    </row>
    <row r="179" spans="3:20" ht="12.75">
      <c r="C179" s="275"/>
      <c r="S179" s="332"/>
      <c r="T179" s="266"/>
    </row>
    <row r="180" spans="3:20" ht="12.75">
      <c r="C180" s="275"/>
      <c r="S180" s="332"/>
      <c r="T180" s="266"/>
    </row>
    <row r="181" spans="3:20" ht="12.75">
      <c r="C181" s="275"/>
      <c r="S181" s="332"/>
      <c r="T181" s="266"/>
    </row>
    <row r="182" spans="3:20" ht="12.75">
      <c r="C182" s="275"/>
      <c r="S182" s="332"/>
      <c r="T182" s="266"/>
    </row>
    <row r="183" spans="3:20" ht="12.75">
      <c r="C183" s="275"/>
      <c r="S183" s="332"/>
      <c r="T183" s="266"/>
    </row>
    <row r="184" spans="3:20" ht="12.75">
      <c r="C184" s="275"/>
      <c r="S184" s="332"/>
      <c r="T184" s="266"/>
    </row>
    <row r="185" spans="3:20" ht="12.75">
      <c r="C185" s="275"/>
      <c r="S185" s="332"/>
      <c r="T185" s="266"/>
    </row>
    <row r="186" spans="3:20" ht="12.75">
      <c r="C186" s="275"/>
      <c r="S186" s="332"/>
      <c r="T186" s="266"/>
    </row>
    <row r="187" spans="3:20" ht="12.75">
      <c r="C187" s="275"/>
      <c r="S187" s="332"/>
      <c r="T187" s="266"/>
    </row>
    <row r="188" spans="3:20" ht="12.75">
      <c r="C188" s="275"/>
      <c r="S188" s="332"/>
      <c r="T188" s="266"/>
    </row>
    <row r="189" spans="3:20" ht="12.75">
      <c r="C189" s="275"/>
      <c r="S189" s="332"/>
      <c r="T189" s="266"/>
    </row>
    <row r="190" spans="3:20" ht="12.75">
      <c r="C190" s="275"/>
      <c r="S190" s="332"/>
      <c r="T190" s="266"/>
    </row>
    <row r="191" spans="3:20" ht="12.75">
      <c r="C191" s="275"/>
      <c r="S191" s="332"/>
      <c r="T191" s="266"/>
    </row>
    <row r="192" spans="3:20" ht="12.75">
      <c r="C192" s="275"/>
      <c r="S192" s="332"/>
      <c r="T192" s="266"/>
    </row>
    <row r="193" spans="3:20" ht="12.75">
      <c r="C193" s="275"/>
      <c r="S193" s="332"/>
      <c r="T193" s="266"/>
    </row>
    <row r="194" spans="3:20" ht="12.75">
      <c r="C194" s="275"/>
      <c r="S194" s="332"/>
      <c r="T194" s="266"/>
    </row>
    <row r="195" spans="3:20" ht="12.75">
      <c r="C195" s="275"/>
      <c r="S195" s="332"/>
      <c r="T195" s="266"/>
    </row>
    <row r="196" spans="3:20" ht="12.75">
      <c r="C196" s="275"/>
      <c r="S196" s="332"/>
      <c r="T196" s="266"/>
    </row>
    <row r="197" spans="3:20" ht="12.75">
      <c r="C197" s="275"/>
      <c r="S197" s="332"/>
      <c r="T197" s="266"/>
    </row>
    <row r="198" spans="3:20" ht="12.75">
      <c r="C198" s="275"/>
      <c r="S198" s="332"/>
      <c r="T198" s="266"/>
    </row>
    <row r="199" spans="3:20" ht="12.75">
      <c r="C199" s="275"/>
      <c r="S199" s="332"/>
      <c r="T199" s="266"/>
    </row>
    <row r="200" spans="3:20" ht="12.75">
      <c r="C200" s="275"/>
      <c r="S200" s="332"/>
      <c r="T200" s="266"/>
    </row>
    <row r="201" spans="3:20" ht="12.75">
      <c r="C201" s="275"/>
      <c r="S201" s="332"/>
      <c r="T201" s="266"/>
    </row>
    <row r="202" spans="3:20" ht="12.75">
      <c r="C202" s="275"/>
      <c r="S202" s="332"/>
      <c r="T202" s="266"/>
    </row>
    <row r="203" spans="3:20" ht="12.75">
      <c r="C203" s="275"/>
      <c r="S203" s="332"/>
      <c r="T203" s="266"/>
    </row>
    <row r="204" spans="3:20" ht="12.75">
      <c r="C204" s="275"/>
      <c r="S204" s="332"/>
      <c r="T204" s="266"/>
    </row>
    <row r="205" spans="3:20" ht="12.75">
      <c r="C205" s="275"/>
      <c r="S205" s="332"/>
      <c r="T205" s="266"/>
    </row>
    <row r="206" spans="3:20" ht="12.75">
      <c r="C206" s="275"/>
      <c r="S206" s="332"/>
      <c r="T206" s="266"/>
    </row>
    <row r="207" spans="3:20" ht="12.75">
      <c r="C207" s="275"/>
      <c r="S207" s="332"/>
      <c r="T207" s="266"/>
    </row>
    <row r="208" spans="3:20" ht="12.75">
      <c r="C208" s="275"/>
      <c r="S208" s="332"/>
      <c r="T208" s="266"/>
    </row>
    <row r="209" spans="3:20" ht="12.75">
      <c r="C209" s="275"/>
      <c r="S209" s="332"/>
      <c r="T209" s="266"/>
    </row>
    <row r="210" spans="3:20" ht="12.75">
      <c r="C210" s="275"/>
      <c r="S210" s="332"/>
      <c r="T210" s="266"/>
    </row>
    <row r="211" spans="3:20" ht="12.75">
      <c r="C211" s="275"/>
      <c r="S211" s="332"/>
      <c r="T211" s="266"/>
    </row>
    <row r="212" spans="3:20" ht="12.75">
      <c r="C212" s="275"/>
      <c r="S212" s="332"/>
      <c r="T212" s="266"/>
    </row>
    <row r="213" spans="3:20" ht="12.75">
      <c r="C213" s="275"/>
      <c r="S213" s="332"/>
      <c r="T213" s="266"/>
    </row>
    <row r="214" spans="3:20" ht="12.75">
      <c r="C214" s="275"/>
      <c r="S214" s="332"/>
      <c r="T214" s="266"/>
    </row>
    <row r="215" spans="3:20" ht="12.75">
      <c r="C215" s="275"/>
      <c r="S215" s="332"/>
      <c r="T215" s="266"/>
    </row>
    <row r="216" spans="3:20" ht="12.75">
      <c r="C216" s="275"/>
      <c r="S216" s="332"/>
      <c r="T216" s="266"/>
    </row>
    <row r="217" spans="3:20" ht="12.75">
      <c r="C217" s="275"/>
      <c r="S217" s="332"/>
      <c r="T217" s="266"/>
    </row>
    <row r="218" spans="3:20" ht="12.75">
      <c r="C218" s="275"/>
      <c r="S218" s="332"/>
      <c r="T218" s="266"/>
    </row>
    <row r="219" spans="3:20" ht="12.75">
      <c r="C219" s="275"/>
      <c r="S219" s="332"/>
      <c r="T219" s="266"/>
    </row>
    <row r="220" spans="3:20" ht="12.75">
      <c r="C220" s="275"/>
      <c r="S220" s="332"/>
      <c r="T220" s="266"/>
    </row>
    <row r="221" spans="3:20" ht="12.75">
      <c r="C221" s="275"/>
      <c r="S221" s="332"/>
      <c r="T221" s="266"/>
    </row>
    <row r="222" spans="3:20" ht="12.75">
      <c r="C222" s="275"/>
      <c r="S222" s="332"/>
      <c r="T222" s="266"/>
    </row>
    <row r="223" spans="3:20" ht="12.75">
      <c r="C223" s="275"/>
      <c r="S223" s="332"/>
      <c r="T223" s="266"/>
    </row>
    <row r="224" spans="3:20" ht="12.75">
      <c r="C224" s="275"/>
      <c r="S224" s="332"/>
      <c r="T224" s="266"/>
    </row>
    <row r="225" spans="3:20" ht="12.75">
      <c r="C225" s="275"/>
      <c r="S225" s="332"/>
      <c r="T225" s="266"/>
    </row>
    <row r="226" spans="3:20" ht="12.75">
      <c r="C226" s="275"/>
      <c r="S226" s="332"/>
      <c r="T226" s="266"/>
    </row>
    <row r="227" spans="3:20" ht="12.75">
      <c r="C227" s="275"/>
      <c r="S227" s="332"/>
      <c r="T227" s="266"/>
    </row>
    <row r="228" spans="3:20" ht="12.75">
      <c r="C228" s="275"/>
      <c r="S228" s="332"/>
      <c r="T228" s="266"/>
    </row>
    <row r="229" spans="3:20" ht="12.75">
      <c r="C229" s="275"/>
      <c r="S229" s="332"/>
      <c r="T229" s="266"/>
    </row>
    <row r="230" spans="3:20" ht="12.75">
      <c r="C230" s="275"/>
      <c r="S230" s="332"/>
      <c r="T230" s="266"/>
    </row>
    <row r="231" spans="3:20" ht="12.75">
      <c r="C231" s="275"/>
      <c r="S231" s="332"/>
      <c r="T231" s="266"/>
    </row>
    <row r="232" spans="3:20" ht="12.75">
      <c r="C232" s="275"/>
      <c r="S232" s="332"/>
      <c r="T232" s="266"/>
    </row>
    <row r="233" spans="3:20" ht="12.75">
      <c r="C233" s="275"/>
      <c r="S233" s="332"/>
      <c r="T233" s="266"/>
    </row>
    <row r="234" spans="3:20" ht="12.75">
      <c r="C234" s="275"/>
      <c r="S234" s="332"/>
      <c r="T234" s="266"/>
    </row>
    <row r="235" spans="3:20" ht="12.75">
      <c r="C235" s="275"/>
      <c r="S235" s="332"/>
      <c r="T235" s="266"/>
    </row>
    <row r="236" spans="3:20" ht="12.75">
      <c r="C236" s="275"/>
      <c r="S236" s="332"/>
      <c r="T236" s="266"/>
    </row>
    <row r="237" spans="3:20" ht="12.75">
      <c r="C237" s="275"/>
      <c r="S237" s="332"/>
      <c r="T237" s="266"/>
    </row>
    <row r="238" spans="3:20" ht="12.75">
      <c r="C238" s="275"/>
      <c r="S238" s="332"/>
      <c r="T238" s="266"/>
    </row>
    <row r="239" spans="3:20" ht="12.75">
      <c r="C239" s="275"/>
      <c r="S239" s="332"/>
      <c r="T239" s="266"/>
    </row>
    <row r="240" spans="3:20" ht="12.75">
      <c r="C240" s="275"/>
      <c r="S240" s="332"/>
      <c r="T240" s="266"/>
    </row>
    <row r="241" spans="3:20" ht="12.75">
      <c r="C241" s="275"/>
      <c r="S241" s="332"/>
      <c r="T241" s="266"/>
    </row>
    <row r="242" spans="3:20" ht="12.75">
      <c r="C242" s="275"/>
      <c r="S242" s="332"/>
      <c r="T242" s="266"/>
    </row>
    <row r="243" spans="3:20" ht="12.75">
      <c r="C243" s="275"/>
      <c r="S243" s="332"/>
      <c r="T243" s="266"/>
    </row>
    <row r="244" spans="3:20" ht="12.75">
      <c r="C244" s="275"/>
      <c r="S244" s="332"/>
      <c r="T244" s="266"/>
    </row>
    <row r="245" spans="3:20" ht="12.75">
      <c r="C245" s="275"/>
      <c r="S245" s="332"/>
      <c r="T245" s="266"/>
    </row>
    <row r="246" spans="3:20" ht="12.75">
      <c r="C246" s="275"/>
      <c r="S246" s="332"/>
      <c r="T246" s="266"/>
    </row>
    <row r="247" spans="3:20" ht="12.75">
      <c r="C247" s="275"/>
      <c r="S247" s="332"/>
      <c r="T247" s="266"/>
    </row>
    <row r="248" spans="3:20" ht="12.75">
      <c r="C248" s="275"/>
      <c r="S248" s="332"/>
      <c r="T248" s="266"/>
    </row>
    <row r="249" spans="3:20" ht="12.75">
      <c r="C249" s="275"/>
      <c r="S249" s="332"/>
      <c r="T249" s="266"/>
    </row>
    <row r="250" spans="3:20" ht="12.75">
      <c r="C250" s="275"/>
      <c r="S250" s="332"/>
      <c r="T250" s="266"/>
    </row>
    <row r="251" spans="3:20" ht="12.75">
      <c r="C251" s="275"/>
      <c r="S251" s="332"/>
      <c r="T251" s="266"/>
    </row>
    <row r="252" spans="3:20" ht="12.75">
      <c r="C252" s="275"/>
      <c r="S252" s="332"/>
      <c r="T252" s="266"/>
    </row>
    <row r="253" spans="3:20" ht="12.75">
      <c r="C253" s="275"/>
      <c r="S253" s="332"/>
      <c r="T253" s="266"/>
    </row>
    <row r="254" spans="3:20" ht="12.75">
      <c r="C254" s="275"/>
      <c r="S254" s="332"/>
      <c r="T254" s="266"/>
    </row>
    <row r="255" spans="3:20" ht="12.75">
      <c r="C255" s="275"/>
      <c r="S255" s="332"/>
      <c r="T255" s="266"/>
    </row>
    <row r="256" spans="3:20" ht="12.75">
      <c r="C256" s="275"/>
      <c r="S256" s="332"/>
      <c r="T256" s="266"/>
    </row>
    <row r="257" spans="3:20" ht="12.75">
      <c r="C257" s="275"/>
      <c r="S257" s="332"/>
      <c r="T257" s="266"/>
    </row>
    <row r="258" spans="3:20" ht="12.75">
      <c r="C258" s="275"/>
      <c r="S258" s="332"/>
      <c r="T258" s="266"/>
    </row>
    <row r="259" spans="3:20" ht="12.75">
      <c r="C259" s="275"/>
      <c r="S259" s="332"/>
      <c r="T259" s="266"/>
    </row>
    <row r="260" spans="3:20" ht="12.75">
      <c r="C260" s="275"/>
      <c r="S260" s="332"/>
      <c r="T260" s="266"/>
    </row>
    <row r="261" spans="3:20" ht="12.75">
      <c r="C261" s="275"/>
      <c r="S261" s="332"/>
      <c r="T261" s="266"/>
    </row>
    <row r="262" spans="3:20" ht="12.75">
      <c r="C262" s="275"/>
      <c r="S262" s="332"/>
      <c r="T262" s="266"/>
    </row>
    <row r="263" spans="3:20" ht="12.75">
      <c r="C263" s="275"/>
      <c r="S263" s="332"/>
      <c r="T263" s="266"/>
    </row>
    <row r="264" spans="3:20" ht="12.75">
      <c r="C264" s="275"/>
      <c r="S264" s="332"/>
      <c r="T264" s="266"/>
    </row>
    <row r="265" spans="3:20" ht="12.75">
      <c r="C265" s="275"/>
      <c r="S265" s="332"/>
      <c r="T265" s="266"/>
    </row>
    <row r="266" spans="3:20" ht="12.75">
      <c r="C266" s="275"/>
      <c r="S266" s="332"/>
      <c r="T266" s="266"/>
    </row>
    <row r="267" spans="3:20" ht="12.75">
      <c r="C267" s="275"/>
      <c r="S267" s="332"/>
      <c r="T267" s="266"/>
    </row>
    <row r="268" spans="3:20" ht="12.75">
      <c r="C268" s="275"/>
      <c r="S268" s="332"/>
      <c r="T268" s="266"/>
    </row>
    <row r="269" spans="3:20" ht="12.75">
      <c r="C269" s="275"/>
      <c r="S269" s="332"/>
      <c r="T269" s="266"/>
    </row>
    <row r="270" spans="3:20" ht="12.75">
      <c r="C270" s="275"/>
      <c r="S270" s="332"/>
      <c r="T270" s="266"/>
    </row>
    <row r="271" spans="3:20" ht="12.75">
      <c r="C271" s="275"/>
      <c r="S271" s="332"/>
      <c r="T271" s="266"/>
    </row>
    <row r="272" spans="3:20" ht="12.75">
      <c r="C272" s="275"/>
      <c r="S272" s="332"/>
      <c r="T272" s="266"/>
    </row>
    <row r="273" spans="3:20" ht="12.75">
      <c r="C273" s="275"/>
      <c r="S273" s="332"/>
      <c r="T273" s="266"/>
    </row>
    <row r="274" spans="3:20" ht="12.75">
      <c r="C274" s="275"/>
      <c r="S274" s="332"/>
      <c r="T274" s="266"/>
    </row>
    <row r="275" spans="3:20" ht="12.75">
      <c r="C275" s="275"/>
      <c r="S275" s="332"/>
      <c r="T275" s="266"/>
    </row>
    <row r="276" spans="3:20" ht="12.75">
      <c r="C276" s="275"/>
      <c r="S276" s="332"/>
      <c r="T276" s="266"/>
    </row>
    <row r="277" spans="3:20" ht="12.75">
      <c r="C277" s="275"/>
      <c r="S277" s="332"/>
      <c r="T277" s="266"/>
    </row>
    <row r="278" spans="3:20" ht="12.75">
      <c r="C278" s="275"/>
      <c r="S278" s="332"/>
      <c r="T278" s="266"/>
    </row>
    <row r="279" spans="3:20" ht="12.75">
      <c r="C279" s="275"/>
      <c r="S279" s="332"/>
      <c r="T279" s="266"/>
    </row>
    <row r="280" ht="12.75">
      <c r="C280" s="275"/>
    </row>
    <row r="281" ht="12.75">
      <c r="C281" s="275"/>
    </row>
    <row r="282" ht="12.75">
      <c r="C282" s="275"/>
    </row>
    <row r="283" ht="12.75">
      <c r="C283" s="275"/>
    </row>
    <row r="284" ht="12.75">
      <c r="C284" s="275"/>
    </row>
    <row r="285" ht="12.75">
      <c r="C285" s="275"/>
    </row>
    <row r="286" ht="12.75">
      <c r="C286" s="275"/>
    </row>
    <row r="287" ht="12.75">
      <c r="C287" s="275"/>
    </row>
    <row r="288" ht="12.75">
      <c r="C288" s="275"/>
    </row>
    <row r="289" ht="12.75">
      <c r="C289" s="275"/>
    </row>
    <row r="290" ht="12.75">
      <c r="C290" s="275"/>
    </row>
    <row r="291" ht="12.75">
      <c r="C291" s="275"/>
    </row>
    <row r="292" ht="12.75">
      <c r="C292" s="275"/>
    </row>
    <row r="293" ht="12.75">
      <c r="C293" s="275"/>
    </row>
    <row r="294" ht="12.75">
      <c r="C294" s="275"/>
    </row>
    <row r="295" ht="12.75">
      <c r="C295" s="275"/>
    </row>
    <row r="296" ht="12.75">
      <c r="C296" s="275"/>
    </row>
    <row r="297" ht="12.75">
      <c r="C297" s="275"/>
    </row>
    <row r="298" ht="12.75">
      <c r="C298" s="275"/>
    </row>
    <row r="299" ht="12.75">
      <c r="C299" s="275"/>
    </row>
    <row r="300" ht="12.75">
      <c r="C300" s="275"/>
    </row>
    <row r="301" ht="12.75">
      <c r="C301" s="275"/>
    </row>
    <row r="302" ht="12.75">
      <c r="C302" s="275"/>
    </row>
    <row r="303" ht="12.75">
      <c r="C303" s="275"/>
    </row>
    <row r="304" ht="12.75">
      <c r="C304" s="275"/>
    </row>
    <row r="305" ht="12.75">
      <c r="C305" s="275"/>
    </row>
    <row r="306" ht="12.75">
      <c r="C306" s="275"/>
    </row>
    <row r="307" ht="12.75">
      <c r="C307" s="275"/>
    </row>
    <row r="308" ht="12.75">
      <c r="C308" s="275"/>
    </row>
    <row r="309" ht="12.75">
      <c r="C309" s="275"/>
    </row>
    <row r="310" ht="12.75">
      <c r="C310" s="275"/>
    </row>
    <row r="311" ht="12.75">
      <c r="C311" s="275"/>
    </row>
    <row r="312" ht="12.75">
      <c r="C312" s="275"/>
    </row>
    <row r="313" ht="12.75">
      <c r="C313" s="275"/>
    </row>
    <row r="314" ht="12.75">
      <c r="C314" s="275"/>
    </row>
    <row r="315" ht="12.75">
      <c r="C315" s="275"/>
    </row>
    <row r="316" ht="12.75">
      <c r="C316" s="275"/>
    </row>
    <row r="317" ht="12.75">
      <c r="C317" s="275"/>
    </row>
    <row r="318" ht="12.75">
      <c r="C318" s="275"/>
    </row>
    <row r="319" ht="12.75">
      <c r="C319" s="275"/>
    </row>
  </sheetData>
  <mergeCells count="13">
    <mergeCell ref="R2:R3"/>
    <mergeCell ref="M2:M3"/>
    <mergeCell ref="N2:N3"/>
    <mergeCell ref="O2:O3"/>
    <mergeCell ref="P2:P3"/>
    <mergeCell ref="F2:F3"/>
    <mergeCell ref="G2:G3"/>
    <mergeCell ref="H2:H3"/>
    <mergeCell ref="L2:L3"/>
    <mergeCell ref="A2:A3"/>
    <mergeCell ref="B2:B3"/>
    <mergeCell ref="D2:D3"/>
    <mergeCell ref="E2:E3"/>
  </mergeCells>
  <conditionalFormatting sqref="J5:J128 U5:U128 D5:E128 L5:M128 S5:S128 Q13:Q128">
    <cfRule type="cellIs" priority="1" dxfId="1" operator="equal" stopIfTrue="1">
      <formula>"Y"</formula>
    </cfRule>
  </conditionalFormatting>
  <printOptions gridLines="1"/>
  <pageMargins left="0.24" right="0.19" top="1" bottom="1" header="0.5" footer="0.5"/>
  <pageSetup fitToHeight="3" fitToWidth="1" horizontalDpi="600" verticalDpi="600" orientation="landscape" scale="68" r:id="rId4"/>
  <headerFooter alignWithMargins="0">
    <oddHeader>&amp;CChevron Richmond Refinery
Attachment 2
Reasonable Potential Analysis Results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7"/>
  <sheetViews>
    <sheetView tabSelected="1" workbookViewId="0" topLeftCell="A1">
      <pane xSplit="2" ySplit="11" topLeftCell="AH12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L141" sqref="AL141"/>
    </sheetView>
  </sheetViews>
  <sheetFormatPr defaultColWidth="9.140625" defaultRowHeight="12.75"/>
  <cols>
    <col min="1" max="1" width="8.00390625" style="0" bestFit="1" customWidth="1"/>
    <col min="2" max="2" width="18.8515625" style="0" bestFit="1" customWidth="1"/>
    <col min="3" max="3" width="8.8515625" style="0" customWidth="1"/>
    <col min="4" max="4" width="8.8515625" style="0" hidden="1" customWidth="1"/>
    <col min="5" max="5" width="10.421875" style="0" hidden="1" customWidth="1"/>
    <col min="6" max="7" width="8.8515625" style="0" hidden="1" customWidth="1"/>
    <col min="8" max="8" width="10.8515625" style="0" hidden="1" customWidth="1"/>
    <col min="9" max="18" width="8.8515625" style="0" hidden="1" customWidth="1"/>
    <col min="19" max="19" width="9.8515625" style="2" hidden="1" customWidth="1"/>
    <col min="20" max="20" width="9.8515625" style="0" hidden="1" customWidth="1"/>
    <col min="21" max="23" width="12.421875" style="0" customWidth="1"/>
    <col min="24" max="36" width="8.8515625" style="0" customWidth="1"/>
    <col min="37" max="38" width="8.57421875" style="386" customWidth="1"/>
    <col min="39" max="39" width="13.7109375" style="386" bestFit="1" customWidth="1"/>
    <col min="40" max="40" width="13.421875" style="386" bestFit="1" customWidth="1"/>
    <col min="41" max="42" width="8.57421875" style="381" customWidth="1"/>
    <col min="43" max="16384" width="8.8515625" style="0" customWidth="1"/>
  </cols>
  <sheetData>
    <row r="1" spans="1:5" ht="12.75" hidden="1">
      <c r="A1" t="s">
        <v>316</v>
      </c>
      <c r="C1" s="370" t="s">
        <v>317</v>
      </c>
      <c r="D1">
        <v>9</v>
      </c>
      <c r="E1">
        <v>0</v>
      </c>
    </row>
    <row r="2" spans="3:4" ht="12.75" hidden="1">
      <c r="C2" s="370" t="s">
        <v>318</v>
      </c>
      <c r="D2">
        <v>4</v>
      </c>
    </row>
    <row r="3" ht="12.75" hidden="1"/>
    <row r="4" ht="12.75" hidden="1"/>
    <row r="5" ht="12.75" hidden="1"/>
    <row r="6" spans="24:41" ht="12.75" hidden="1">
      <c r="X6">
        <v>1</v>
      </c>
      <c r="Y6">
        <v>2</v>
      </c>
      <c r="Z6">
        <v>3</v>
      </c>
      <c r="AA6">
        <v>4</v>
      </c>
      <c r="AB6">
        <v>5</v>
      </c>
      <c r="AC6">
        <v>6</v>
      </c>
      <c r="AD6">
        <v>7</v>
      </c>
      <c r="AE6">
        <v>8</v>
      </c>
      <c r="AF6">
        <v>9</v>
      </c>
      <c r="AG6">
        <v>11</v>
      </c>
      <c r="AH6">
        <v>12</v>
      </c>
      <c r="AI6">
        <v>13</v>
      </c>
      <c r="AJ6">
        <v>14</v>
      </c>
      <c r="AK6" s="386">
        <v>15</v>
      </c>
      <c r="AL6" s="386">
        <v>16</v>
      </c>
      <c r="AM6" s="386">
        <v>17</v>
      </c>
      <c r="AN6" s="386">
        <v>18</v>
      </c>
      <c r="AO6" s="381">
        <v>19</v>
      </c>
    </row>
    <row r="7" spans="7:20" ht="13.5" hidden="1" thickBot="1">
      <c r="G7" s="491" t="s">
        <v>343</v>
      </c>
      <c r="H7" s="491"/>
      <c r="K7" s="491" t="s">
        <v>345</v>
      </c>
      <c r="L7" s="491"/>
      <c r="M7" s="491"/>
      <c r="N7" s="491"/>
      <c r="O7" s="491"/>
      <c r="P7" s="491"/>
      <c r="Q7" s="491"/>
      <c r="R7" s="42"/>
      <c r="T7" s="414" t="s">
        <v>347</v>
      </c>
    </row>
    <row r="8" spans="1:42" ht="77.25" thickTop="1">
      <c r="A8" s="421" t="s">
        <v>236</v>
      </c>
      <c r="B8" s="422"/>
      <c r="D8" s="9" t="s">
        <v>344</v>
      </c>
      <c r="E8" s="9" t="s">
        <v>319</v>
      </c>
      <c r="F8" s="371" t="s">
        <v>320</v>
      </c>
      <c r="G8" s="371" t="s">
        <v>188</v>
      </c>
      <c r="H8" s="371" t="s">
        <v>350</v>
      </c>
      <c r="I8" s="9" t="s">
        <v>183</v>
      </c>
      <c r="J8" s="371" t="s">
        <v>184</v>
      </c>
      <c r="K8" s="9" t="s">
        <v>322</v>
      </c>
      <c r="L8" s="9" t="s">
        <v>185</v>
      </c>
      <c r="M8" s="9" t="s">
        <v>186</v>
      </c>
      <c r="N8" s="9" t="s">
        <v>321</v>
      </c>
      <c r="O8" s="9" t="s">
        <v>187</v>
      </c>
      <c r="P8" s="9" t="s">
        <v>351</v>
      </c>
      <c r="Q8" s="9" t="s">
        <v>190</v>
      </c>
      <c r="R8" s="9" t="s">
        <v>189</v>
      </c>
      <c r="S8" s="417" t="s">
        <v>323</v>
      </c>
      <c r="T8" s="415" t="s">
        <v>191</v>
      </c>
      <c r="U8" s="9" t="s">
        <v>194</v>
      </c>
      <c r="V8" s="9" t="s">
        <v>193</v>
      </c>
      <c r="W8" s="9" t="s">
        <v>200</v>
      </c>
      <c r="X8" s="9" t="s">
        <v>192</v>
      </c>
      <c r="Y8" s="9" t="s">
        <v>363</v>
      </c>
      <c r="Z8" s="9" t="s">
        <v>362</v>
      </c>
      <c r="AA8" s="9" t="s">
        <v>361</v>
      </c>
      <c r="AB8" s="9" t="s">
        <v>360</v>
      </c>
      <c r="AC8" s="9" t="s">
        <v>196</v>
      </c>
      <c r="AD8" s="9" t="s">
        <v>195</v>
      </c>
      <c r="AE8" s="9" t="s">
        <v>307</v>
      </c>
      <c r="AF8" s="9" t="s">
        <v>308</v>
      </c>
      <c r="AG8" s="9" t="s">
        <v>349</v>
      </c>
      <c r="AH8" s="9" t="s">
        <v>359</v>
      </c>
      <c r="AI8" s="9" t="s">
        <v>311</v>
      </c>
      <c r="AJ8" s="9" t="s">
        <v>309</v>
      </c>
      <c r="AK8" s="387" t="s">
        <v>198</v>
      </c>
      <c r="AL8" s="387" t="s">
        <v>197</v>
      </c>
      <c r="AM8" s="387" t="s">
        <v>199</v>
      </c>
      <c r="AN8" s="387" t="s">
        <v>310</v>
      </c>
      <c r="AO8" s="382" t="s">
        <v>312</v>
      </c>
      <c r="AP8" s="382" t="s">
        <v>306</v>
      </c>
    </row>
    <row r="9" spans="1:19" ht="12.75">
      <c r="A9" s="457"/>
      <c r="B9" s="458" t="s">
        <v>31</v>
      </c>
      <c r="K9" s="42"/>
      <c r="L9" s="42"/>
      <c r="M9" s="42"/>
      <c r="N9" s="42"/>
      <c r="O9" s="42"/>
      <c r="P9" s="42"/>
      <c r="Q9" s="42"/>
      <c r="R9" s="42"/>
      <c r="S9" s="2" t="s">
        <v>346</v>
      </c>
    </row>
    <row r="10" spans="1:3" ht="12.75">
      <c r="A10" s="427"/>
      <c r="B10" s="459"/>
      <c r="C10" t="s">
        <v>305</v>
      </c>
    </row>
    <row r="11" spans="1:42" s="1" customFormat="1" ht="13.5" customHeight="1" thickBot="1">
      <c r="A11" s="319" t="s">
        <v>280</v>
      </c>
      <c r="B11" s="320" t="s">
        <v>272</v>
      </c>
      <c r="C11" s="321" t="s">
        <v>281</v>
      </c>
      <c r="D11" s="315" t="s">
        <v>282</v>
      </c>
      <c r="E11" s="316" t="s">
        <v>283</v>
      </c>
      <c r="F11" s="316" t="s">
        <v>284</v>
      </c>
      <c r="G11" s="316" t="s">
        <v>285</v>
      </c>
      <c r="H11" s="317" t="s">
        <v>286</v>
      </c>
      <c r="I11" s="318" t="s">
        <v>287</v>
      </c>
      <c r="J11" s="317" t="s">
        <v>288</v>
      </c>
      <c r="K11" s="339" t="s">
        <v>289</v>
      </c>
      <c r="L11" s="343" t="s">
        <v>290</v>
      </c>
      <c r="M11" s="331" t="s">
        <v>277</v>
      </c>
      <c r="N11" s="329" t="s">
        <v>208</v>
      </c>
      <c r="O11" s="355" t="s">
        <v>291</v>
      </c>
      <c r="P11" s="356" t="s">
        <v>292</v>
      </c>
      <c r="Q11" s="372" t="s">
        <v>271</v>
      </c>
      <c r="R11" s="349" t="s">
        <v>348</v>
      </c>
      <c r="S11" s="418" t="s">
        <v>273</v>
      </c>
      <c r="T11" s="322" t="s">
        <v>276</v>
      </c>
      <c r="U11" s="373" t="s">
        <v>324</v>
      </c>
      <c r="V11" s="367" t="s">
        <v>325</v>
      </c>
      <c r="W11" s="368" t="s">
        <v>326</v>
      </c>
      <c r="X11" s="369" t="s">
        <v>327</v>
      </c>
      <c r="Y11" s="368" t="s">
        <v>37</v>
      </c>
      <c r="Z11" s="368" t="s">
        <v>328</v>
      </c>
      <c r="AA11" s="368" t="s">
        <v>329</v>
      </c>
      <c r="AB11" s="368" t="s">
        <v>330</v>
      </c>
      <c r="AC11" s="368" t="s">
        <v>331</v>
      </c>
      <c r="AD11" s="368" t="s">
        <v>332</v>
      </c>
      <c r="AE11" s="368" t="s">
        <v>333</v>
      </c>
      <c r="AF11" t="s">
        <v>334</v>
      </c>
      <c r="AG11" s="368" t="s">
        <v>335</v>
      </c>
      <c r="AH11" s="368"/>
      <c r="AI11" s="368"/>
      <c r="AJ11" s="368" t="s">
        <v>336</v>
      </c>
      <c r="AK11" s="388" t="s">
        <v>337</v>
      </c>
      <c r="AL11" s="389" t="s">
        <v>338</v>
      </c>
      <c r="AM11" s="389" t="s">
        <v>339</v>
      </c>
      <c r="AN11" s="388" t="s">
        <v>340</v>
      </c>
      <c r="AO11" s="383" t="s">
        <v>341</v>
      </c>
      <c r="AP11" s="383" t="s">
        <v>342</v>
      </c>
    </row>
    <row r="12" spans="1:42" ht="13.5" thickTop="1">
      <c r="A12" s="218">
        <v>1</v>
      </c>
      <c r="B12" s="219" t="s">
        <v>77</v>
      </c>
      <c r="C12">
        <f>IF(RPA!S5="Y","Y","")</f>
      </c>
      <c r="D12">
        <f>IF(C12="","",IF(Criteria!C11="No Criteria","N",IF(SUM(Criteria!E11:F11)&gt;0,MIN(Criteria!E11:Criteria!F11),"")))</f>
      </c>
      <c r="F12">
        <f>IF(C12="","",IF(Criteria!D11="","N",Criteria!D11))</f>
      </c>
      <c r="I12">
        <f>IF(C12="","",IF(Criteria!F11="","No Acute",Criteria!F11))</f>
      </c>
      <c r="J12">
        <f>IF(C12="","",IF(Criteria!E11="","No Chronic",Criteria!E11))</f>
      </c>
      <c r="R12">
        <f aca="true" t="shared" si="0" ref="R12:R17">IF((K12+N12=0),"",N12/(K12+N12))</f>
      </c>
      <c r="S12" s="2">
        <f>IF(C12="","",IF('data input for RPA'!I8="N","N",IF('data input for RPA'!J8="N",'data input for RPA'!L8,'data input for RPA'!K8)))</f>
      </c>
      <c r="U12">
        <f aca="true" t="shared" si="1" ref="U12:U24">IF(C12="","",IF(I12="No Acute","",IF($D$1=0,I12,IF(S12="N","No Background",IF(I12&gt;S12,I12+$D$1*(I12-S12))))))</f>
      </c>
      <c r="V12">
        <f aca="true" t="shared" si="2" ref="V12:V24">IF(C12="","",IF(J12="No chronic","",IF($D$1=0,J12,IF(S12="N","No Background",IF(J12&gt;S12,J12+$D$1*(J12-S12),J12)))))</f>
      </c>
      <c r="W12">
        <f aca="true" t="shared" si="3" ref="W12:W19">IF(C12="","",IF(F12="N","No HH Criteria",IF(S12="N","No Background",IF(H12="Y",IF(F12&gt;T12,F12+$D$1*(F12-T12),F12),IF(F12&gt;S12,F12+$D$1*(F12-S12),F12)))))</f>
      </c>
      <c r="Y12">
        <f aca="true" t="shared" si="4" ref="Y12:Y17">IF(C12="","",IF(X12="","No CV",LN(X12^2+1)))</f>
      </c>
      <c r="Z12">
        <f>IF(Y12="","",IF(Y12="No CV","",SQRT(Y12)))</f>
      </c>
      <c r="AA12">
        <f aca="true" t="shared" si="5" ref="AA12:AA17">IF(Y12="","",IF(Y12="No CV","",LN((X12^2)/4+1)))</f>
      </c>
      <c r="AB12">
        <f>IF(AA12="","",SQRT(AA12))</f>
      </c>
      <c r="AC12">
        <f>IF(Y12="","",IF(Y12="No CV","",EXP(0.5*Y12-2.326*Z12)))</f>
      </c>
      <c r="AD12">
        <f aca="true" t="shared" si="6" ref="AD12:AD17">IF(Y12="","",IF(Y12="No CV","",EXP(0.5*AA12-2.326*AB12)))</f>
      </c>
      <c r="AE12">
        <f aca="true" t="shared" si="7" ref="AE12:AE75">IF(AC12="","",IF(U12="No Background","",IF(I12="No Acute","",U12*AC12)))</f>
      </c>
      <c r="AF12">
        <f aca="true" t="shared" si="8" ref="AF12:AF75">IF(AD12="","",IF(V12="No Background","",IF(V12="","",IF(J12="No Chronic","",V12*AD12))))</f>
      </c>
      <c r="AG12">
        <f aca="true" t="shared" si="9" ref="AG12:AG17">IF(Y12="","",IF(Y12="No CV","",LN((X12^2)/$D$2+1)))</f>
      </c>
      <c r="AH12">
        <f>IF(AG12="","",SQRT(AG12))</f>
      </c>
      <c r="AI12">
        <f aca="true" t="shared" si="10" ref="AI12:AI27">IF(C12="","",EXP(2.326*Z12-0.5*Y12))</f>
      </c>
      <c r="AJ12">
        <f aca="true" t="shared" si="11" ref="AJ12:AJ17">IF(AI12="","",EXP(1.645*AH12-0.5*AG12))</f>
      </c>
      <c r="AK12" s="386">
        <f aca="true" t="shared" si="12" ref="AK12:AK17">IF(AI12="","",MIN(AE12:AF12)*AI12)</f>
      </c>
      <c r="AL12" s="386">
        <f aca="true" t="shared" si="13" ref="AL12:AL17">IF(AJ12="","",MIN(AE12:AF12)*AJ12)</f>
      </c>
      <c r="AM12" s="408">
        <f aca="true" t="shared" si="14" ref="AM12:AM76">IF(AN12="","",IF(SUM(AI12:AJ12)=0,"No AMEL/MDEL",AN12*AI12/AJ12))</f>
      </c>
      <c r="AN12" s="374">
        <f aca="true" t="shared" si="15" ref="AN12:AN76">IF(W12="","",IF(W12="No HH Criteria","",IF(SUM(AI12:AJ12)=0,"",W12)))</f>
      </c>
      <c r="AO12" s="384">
        <f aca="true" t="shared" si="16" ref="AO12:AP17">IF(SUM(AK12,AM12)=0,"",MIN(AK12,AM12))</f>
      </c>
      <c r="AP12" s="381">
        <f t="shared" si="16"/>
      </c>
    </row>
    <row r="13" spans="1:42" ht="12.75">
      <c r="A13" s="223">
        <v>2</v>
      </c>
      <c r="B13" s="224" t="s">
        <v>258</v>
      </c>
      <c r="C13">
        <f>IF(RPA!S6="Y","Y","")</f>
      </c>
      <c r="D13">
        <f>IF(C13="","",IF(Criteria!C12="No Criteria","N",IF(SUM(Criteria!E12:F12)&gt;0,MIN(Criteria!E12:Criteria!F12),"")))</f>
      </c>
      <c r="F13">
        <f>IF(C13="","",IF(Criteria!D12="","N",Criteria!D12))</f>
      </c>
      <c r="I13">
        <f>IF(C13="","",IF(Criteria!F12="","No Acute",Criteria!F12))</f>
      </c>
      <c r="J13">
        <f>IF(C13="","",IF(Criteria!E12="","No Chronic",Criteria!E12))</f>
      </c>
      <c r="R13">
        <f t="shared" si="0"/>
      </c>
      <c r="S13" s="2">
        <f>IF(C13="","",IF('data input for RPA'!I9="N","N",IF('data input for RPA'!J9="N",'data input for RPA'!L9,'data input for RPA'!K9)))</f>
      </c>
      <c r="U13">
        <f t="shared" si="1"/>
      </c>
      <c r="V13">
        <f t="shared" si="2"/>
      </c>
      <c r="W13">
        <f t="shared" si="3"/>
      </c>
      <c r="Y13">
        <f t="shared" si="4"/>
      </c>
      <c r="Z13">
        <f aca="true" t="shared" si="17" ref="Z13:Z76">IF(Y13="","",IF(Y13="No CV","",SQRT(Y13)))</f>
      </c>
      <c r="AA13">
        <f t="shared" si="5"/>
      </c>
      <c r="AB13">
        <f aca="true" t="shared" si="18" ref="AB13:AB76">IF(AA13="","",SQRT(AA13))</f>
      </c>
      <c r="AC13">
        <f>IF(Y13="","",IF(Y13="No CV","",EXP(0.5*Y13-2.326*Z13)))</f>
      </c>
      <c r="AD13">
        <f t="shared" si="6"/>
      </c>
      <c r="AE13">
        <f t="shared" si="7"/>
      </c>
      <c r="AF13">
        <f t="shared" si="8"/>
      </c>
      <c r="AG13">
        <f t="shared" si="9"/>
      </c>
      <c r="AH13">
        <f aca="true" t="shared" si="19" ref="AH13:AH76">IF(AG13="","",SQRT(AG13))</f>
      </c>
      <c r="AI13">
        <f t="shared" si="10"/>
      </c>
      <c r="AJ13">
        <f t="shared" si="11"/>
      </c>
      <c r="AK13" s="386">
        <f t="shared" si="12"/>
      </c>
      <c r="AL13" s="386">
        <f t="shared" si="13"/>
      </c>
      <c r="AM13" s="408">
        <f t="shared" si="14"/>
      </c>
      <c r="AN13" s="374">
        <f t="shared" si="15"/>
      </c>
      <c r="AO13" s="384">
        <f t="shared" si="16"/>
      </c>
      <c r="AP13" s="381">
        <f t="shared" si="16"/>
      </c>
    </row>
    <row r="14" spans="1:42" ht="12.75">
      <c r="A14" s="223">
        <v>3</v>
      </c>
      <c r="B14" s="224" t="s">
        <v>210</v>
      </c>
      <c r="C14">
        <f>IF(RPA!S7="Y","Y","")</f>
      </c>
      <c r="D14">
        <f>IF(C14="","",IF(Criteria!C13="No Criteria","N",IF(SUM(Criteria!E13:F13)&gt;0,MIN(Criteria!E13:Criteria!F13),"")))</f>
      </c>
      <c r="F14">
        <f>IF(C14="","",IF(Criteria!D13="","N",Criteria!D13))</f>
      </c>
      <c r="I14">
        <f>IF(C14="","",IF(Criteria!F13="","No Acute",Criteria!F13))</f>
      </c>
      <c r="J14">
        <f>IF(C14="","",IF(Criteria!E13="","No Chronic",Criteria!E13))</f>
      </c>
      <c r="R14">
        <f t="shared" si="0"/>
      </c>
      <c r="S14" s="2">
        <f>IF(C14="","",IF('data input for RPA'!I10="N","N",IF('data input for RPA'!J10="N",'data input for RPA'!L10,'data input for RPA'!K10)))</f>
      </c>
      <c r="U14">
        <f t="shared" si="1"/>
      </c>
      <c r="V14">
        <f t="shared" si="2"/>
      </c>
      <c r="W14">
        <f t="shared" si="3"/>
      </c>
      <c r="Y14">
        <f t="shared" si="4"/>
      </c>
      <c r="Z14">
        <f t="shared" si="17"/>
      </c>
      <c r="AA14">
        <f t="shared" si="5"/>
      </c>
      <c r="AB14">
        <f t="shared" si="18"/>
      </c>
      <c r="AC14">
        <f>IF(Y14="","",IF(Y14="No CV","",EXP(0.5*Y14-2.326*Z14)))</f>
      </c>
      <c r="AD14">
        <f t="shared" si="6"/>
      </c>
      <c r="AE14">
        <f t="shared" si="7"/>
      </c>
      <c r="AF14">
        <f t="shared" si="8"/>
      </c>
      <c r="AG14">
        <f t="shared" si="9"/>
      </c>
      <c r="AH14">
        <f t="shared" si="19"/>
      </c>
      <c r="AI14">
        <f t="shared" si="10"/>
      </c>
      <c r="AJ14">
        <f t="shared" si="11"/>
      </c>
      <c r="AK14" s="386">
        <f t="shared" si="12"/>
      </c>
      <c r="AL14" s="386">
        <f t="shared" si="13"/>
      </c>
      <c r="AM14" s="408">
        <f t="shared" si="14"/>
      </c>
      <c r="AN14" s="374">
        <f t="shared" si="15"/>
      </c>
      <c r="AO14" s="384">
        <f t="shared" si="16"/>
      </c>
      <c r="AP14" s="381">
        <f t="shared" si="16"/>
      </c>
    </row>
    <row r="15" spans="1:42" ht="12.75">
      <c r="A15" s="223">
        <v>4</v>
      </c>
      <c r="B15" s="224" t="s">
        <v>259</v>
      </c>
      <c r="C15">
        <f>IF(RPA!S8="Y","Y","")</f>
      </c>
      <c r="D15">
        <f>IF(C15="","",IF(Criteria!C14="No Criteria","N",IF(SUM(Criteria!E14:F14)&gt;0,MIN(Criteria!E14:Criteria!F14),"")))</f>
      </c>
      <c r="F15">
        <f>IF(C15="","",IF(Criteria!D14="","N",Criteria!D14))</f>
      </c>
      <c r="I15">
        <f>IF(C15="","",IF(Criteria!F14="","No Acute",Criteria!F14))</f>
      </c>
      <c r="J15">
        <f>IF(C15="","",IF(Criteria!E14="","No Chronic",Criteria!E14))</f>
      </c>
      <c r="R15">
        <f t="shared" si="0"/>
      </c>
      <c r="S15" s="2">
        <f>IF(C15="","",IF('data input for RPA'!I11="N","N",IF('data input for RPA'!J11="N",'data input for RPA'!L11,'data input for RPA'!K11)))</f>
      </c>
      <c r="U15">
        <f t="shared" si="1"/>
      </c>
      <c r="V15">
        <f t="shared" si="2"/>
      </c>
      <c r="W15">
        <f t="shared" si="3"/>
      </c>
      <c r="Y15">
        <f t="shared" si="4"/>
      </c>
      <c r="Z15">
        <f t="shared" si="17"/>
      </c>
      <c r="AA15">
        <f t="shared" si="5"/>
      </c>
      <c r="AB15">
        <f t="shared" si="18"/>
      </c>
      <c r="AC15">
        <f>IF(Y15="","",IF(Y15="No CV","",EXP(0.5*Y15-2.326*Z15)))</f>
      </c>
      <c r="AD15">
        <f t="shared" si="6"/>
      </c>
      <c r="AE15">
        <f t="shared" si="7"/>
      </c>
      <c r="AF15">
        <f t="shared" si="8"/>
      </c>
      <c r="AG15">
        <f t="shared" si="9"/>
      </c>
      <c r="AH15">
        <f t="shared" si="19"/>
      </c>
      <c r="AI15">
        <f t="shared" si="10"/>
      </c>
      <c r="AJ15">
        <f t="shared" si="11"/>
      </c>
      <c r="AK15" s="386">
        <f t="shared" si="12"/>
      </c>
      <c r="AL15" s="386">
        <f t="shared" si="13"/>
      </c>
      <c r="AM15" s="408">
        <f t="shared" si="14"/>
      </c>
      <c r="AN15" s="374">
        <f t="shared" si="15"/>
      </c>
      <c r="AO15" s="384">
        <f t="shared" si="16"/>
      </c>
      <c r="AP15" s="381">
        <f t="shared" si="16"/>
      </c>
    </row>
    <row r="16" spans="1:42" ht="12.75">
      <c r="A16" s="223" t="s">
        <v>81</v>
      </c>
      <c r="B16" s="232" t="s">
        <v>82</v>
      </c>
      <c r="C16">
        <f>IF(RPA!S9="Y","Y","")</f>
      </c>
      <c r="D16">
        <f>IF(C16="","",IF(Criteria!C15="No Criteria","N",IF(SUM(Criteria!E15:F15)&gt;0,MIN(Criteria!E15:Criteria!F15),"")))</f>
      </c>
      <c r="F16">
        <f>IF(C16="","",IF(Criteria!D15="","N",Criteria!D15))</f>
      </c>
      <c r="I16">
        <f>IF(C16="","",IF(Criteria!F15="","No Acute",Criteria!F15))</f>
      </c>
      <c r="J16">
        <f>IF(C16="","",IF(Criteria!E15="","No Chronic",Criteria!E15))</f>
      </c>
      <c r="R16">
        <f t="shared" si="0"/>
      </c>
      <c r="S16" s="2">
        <f>IF(C16="","",IF('data input for RPA'!I12="N","N",IF('data input for RPA'!J12="N",'data input for RPA'!L12,'data input for RPA'!K12)))</f>
      </c>
      <c r="U16">
        <f t="shared" si="1"/>
      </c>
      <c r="V16">
        <f t="shared" si="2"/>
      </c>
      <c r="W16">
        <f t="shared" si="3"/>
      </c>
      <c r="Y16">
        <f t="shared" si="4"/>
      </c>
      <c r="Z16">
        <f t="shared" si="17"/>
      </c>
      <c r="AA16">
        <f t="shared" si="5"/>
      </c>
      <c r="AB16">
        <f t="shared" si="18"/>
      </c>
      <c r="AC16">
        <f>IF(Y16="","",IF(Y16="No CV","",EXP(0.5*Y16-2.326*Z16)))</f>
      </c>
      <c r="AD16">
        <f t="shared" si="6"/>
      </c>
      <c r="AE16">
        <f t="shared" si="7"/>
      </c>
      <c r="AF16">
        <f t="shared" si="8"/>
      </c>
      <c r="AG16">
        <f t="shared" si="9"/>
      </c>
      <c r="AH16">
        <f t="shared" si="19"/>
      </c>
      <c r="AI16">
        <f t="shared" si="10"/>
      </c>
      <c r="AJ16">
        <f t="shared" si="11"/>
      </c>
      <c r="AK16" s="386">
        <f t="shared" si="12"/>
      </c>
      <c r="AL16" s="386">
        <f t="shared" si="13"/>
      </c>
      <c r="AM16" s="408">
        <f t="shared" si="14"/>
      </c>
      <c r="AN16" s="374">
        <f t="shared" si="15"/>
      </c>
      <c r="AO16" s="384">
        <f t="shared" si="16"/>
      </c>
      <c r="AP16" s="381">
        <f t="shared" si="16"/>
      </c>
    </row>
    <row r="17" spans="1:42" ht="12.75">
      <c r="A17" s="223" t="s">
        <v>83</v>
      </c>
      <c r="B17" s="224" t="s">
        <v>260</v>
      </c>
      <c r="C17">
        <f>IF(RPA!S10="Y","Y","")</f>
      </c>
      <c r="D17">
        <f>IF(C17="","",IF(Criteria!C16="No Criteria","N",IF(SUM(Criteria!E16:F16)&gt;0,MIN(Criteria!E16:Criteria!F16),"")))</f>
      </c>
      <c r="F17">
        <f>IF(C17="","",IF(Criteria!D16="","N",Criteria!D16))</f>
      </c>
      <c r="I17">
        <f>IF(C17="","",IF(Criteria!F16="","No Acute",Criteria!F16))</f>
      </c>
      <c r="J17">
        <f>IF(C17="","",IF(Criteria!E16="","No Chronic",Criteria!E16))</f>
      </c>
      <c r="R17">
        <f t="shared" si="0"/>
      </c>
      <c r="S17" s="2">
        <f>IF(C17="","",IF('data input for RPA'!I13="N","N",IF('data input for RPA'!J13="N",'data input for RPA'!L13,'data input for RPA'!K13)))</f>
      </c>
      <c r="U17">
        <f t="shared" si="1"/>
      </c>
      <c r="V17">
        <f t="shared" si="2"/>
      </c>
      <c r="W17">
        <f t="shared" si="3"/>
      </c>
      <c r="Y17">
        <f t="shared" si="4"/>
      </c>
      <c r="Z17">
        <f t="shared" si="17"/>
      </c>
      <c r="AA17">
        <f t="shared" si="5"/>
      </c>
      <c r="AB17">
        <f t="shared" si="18"/>
      </c>
      <c r="AD17">
        <f t="shared" si="6"/>
      </c>
      <c r="AE17">
        <f t="shared" si="7"/>
      </c>
      <c r="AF17">
        <f t="shared" si="8"/>
      </c>
      <c r="AG17">
        <f t="shared" si="9"/>
      </c>
      <c r="AH17">
        <f t="shared" si="19"/>
      </c>
      <c r="AI17">
        <f t="shared" si="10"/>
      </c>
      <c r="AJ17">
        <f t="shared" si="11"/>
      </c>
      <c r="AK17" s="386">
        <f t="shared" si="12"/>
      </c>
      <c r="AL17" s="386">
        <f t="shared" si="13"/>
      </c>
      <c r="AM17" s="408">
        <f t="shared" si="14"/>
      </c>
      <c r="AN17" s="374">
        <f t="shared" si="15"/>
      </c>
      <c r="AO17" s="384">
        <f t="shared" si="16"/>
      </c>
      <c r="AP17" s="381">
        <f t="shared" si="16"/>
      </c>
    </row>
    <row r="18" spans="1:42" ht="12.75">
      <c r="A18" s="223">
        <v>6</v>
      </c>
      <c r="B18" s="229" t="s">
        <v>261</v>
      </c>
      <c r="C18" t="str">
        <f>IF(RPA!S11="Y","Y","")</f>
        <v>Y</v>
      </c>
      <c r="D18">
        <f>IF(C18="","",IF(Criteria!C17="No Criteria","N",IF(SUM(Criteria!E17:F17)&gt;0,MIN(Criteria!E17:Criteria!F17),"")))</f>
        <v>3.734939759036145</v>
      </c>
      <c r="F18" t="str">
        <f>IF(C18="","",IF(Criteria!D17="","N",Criteria!D17))</f>
        <v>N</v>
      </c>
      <c r="I18">
        <f>IF(C18="","",IF(Criteria!F17="","No Acute",Criteria!F17))</f>
        <v>5.783132530120482</v>
      </c>
      <c r="J18">
        <f>IF(C18="","",IF(Criteria!E17="","No Chronic",Criteria!E17))</f>
        <v>3.734939759036145</v>
      </c>
      <c r="K18">
        <v>112</v>
      </c>
      <c r="L18">
        <v>20</v>
      </c>
      <c r="M18">
        <v>0.8</v>
      </c>
      <c r="N18">
        <v>0</v>
      </c>
      <c r="O18">
        <v>0.5</v>
      </c>
      <c r="P18">
        <v>5.11</v>
      </c>
      <c r="Q18">
        <v>2.54</v>
      </c>
      <c r="R18">
        <f aca="true" t="shared" si="20" ref="R18:R81">IF((K18+N18=0),"",N18/(K18+N18))</f>
        <v>0</v>
      </c>
      <c r="S18" s="2">
        <f>IF(C18="","",IF('data input for RPA'!I14="N","N",IF('data input for RPA'!J14="N",'data input for RPA'!L14,'data input for RPA'!K14)))</f>
        <v>2.45</v>
      </c>
      <c r="U18">
        <f t="shared" si="1"/>
        <v>35.78132530120482</v>
      </c>
      <c r="V18">
        <f t="shared" si="2"/>
        <v>15.299397590361448</v>
      </c>
      <c r="W18" t="str">
        <f t="shared" si="3"/>
        <v>No HH Criteria</v>
      </c>
      <c r="X18">
        <v>0.5489386336600436</v>
      </c>
      <c r="Y18">
        <f aca="true" t="shared" si="21" ref="Y18:Y81">IF(C18="","",IF(X18="","No CV",LN(X18^2+1)))</f>
        <v>0.2633896028780155</v>
      </c>
      <c r="Z18">
        <f t="shared" si="17"/>
        <v>0.5132149675116807</v>
      </c>
      <c r="AA18">
        <f aca="true" t="shared" si="22" ref="AA18:AA81">IF(Y18="","",IF(Y18="No CV","",LN((X18^2)/4+1)))</f>
        <v>0.0726307585003163</v>
      </c>
      <c r="AB18">
        <f t="shared" si="18"/>
        <v>0.26950094341266473</v>
      </c>
      <c r="AC18">
        <f aca="true" t="shared" si="23" ref="AC18:AC81">IF(Y18="","",IF(Y18="No CV","",EXP(0.5*Y18-2.326*Z18)))</f>
        <v>0.3457486500024359</v>
      </c>
      <c r="AD18">
        <f aca="true" t="shared" si="24" ref="AD18:AD81">IF(Y18="","",IF(Y18="No CV","",EXP(0.5*AA18-2.326*AB18)))</f>
        <v>0.5540259151234754</v>
      </c>
      <c r="AE18">
        <f t="shared" si="7"/>
        <v>12.371344918189568</v>
      </c>
      <c r="AF18">
        <f t="shared" si="8"/>
        <v>8.476262750837895</v>
      </c>
      <c r="AG18">
        <f aca="true" t="shared" si="25" ref="AG18:AG81">IF(Y18="","",IF(Y18="No CV","",LN((X18^2)/$D$2+1)))</f>
        <v>0.0726307585003163</v>
      </c>
      <c r="AH18">
        <f t="shared" si="19"/>
        <v>0.26950094341266473</v>
      </c>
      <c r="AI18">
        <f t="shared" si="10"/>
        <v>2.8922744889761822</v>
      </c>
      <c r="AJ18">
        <f>IF(AI18="","",EXP(1.645*AH18-0.5*AG18))</f>
        <v>1.5023246463011475</v>
      </c>
      <c r="AK18" s="386">
        <f aca="true" t="shared" si="26" ref="AK18:AK81">IF(AI18="","",MIN(AE18:AF18)*AI18)</f>
        <v>24.51567851610752</v>
      </c>
      <c r="AL18" s="386">
        <f aca="true" t="shared" si="27" ref="AL18:AL81">IF(AJ18="","",MIN(AE18:AF18)*AJ18)</f>
        <v>12.734098439108132</v>
      </c>
      <c r="AM18" s="408">
        <f t="shared" si="14"/>
      </c>
      <c r="AN18" s="374">
        <f t="shared" si="15"/>
      </c>
      <c r="AO18" s="384">
        <f aca="true" t="shared" si="28" ref="AO18:AO81">IF(SUM(AK18,AM18)=0,"",MIN(AK18,AM18))</f>
        <v>24.51567851610752</v>
      </c>
      <c r="AP18" s="381">
        <f aca="true" t="shared" si="29" ref="AP18:AP81">IF(SUM(AL18,AN18)=0,"",MIN(AL18,AN18))</f>
        <v>12.734098439108132</v>
      </c>
    </row>
    <row r="19" spans="1:42" ht="12.75">
      <c r="A19" s="223">
        <v>7</v>
      </c>
      <c r="B19" s="224" t="s">
        <v>262</v>
      </c>
      <c r="C19" t="str">
        <f>IF(RPA!S12="Y","Y","")</f>
        <v>Y</v>
      </c>
      <c r="D19">
        <f>IF(C19="","",IF(Criteria!C18="No Criteria","N",IF(SUM(Criteria!E18:F18)&gt;0,MIN(Criteria!E18:Criteria!F18),"")))</f>
        <v>1.6253207259008415</v>
      </c>
      <c r="F19" t="str">
        <f>IF(C19="","",IF(Criteria!D18="","N",Criteria!D18))</f>
        <v>N</v>
      </c>
      <c r="I19">
        <f>IF(C19="","",IF(Criteria!F18="","No Acute",Criteria!F18))</f>
        <v>41.708509222947136</v>
      </c>
      <c r="J19">
        <f>IF(C19="","",IF(Criteria!E18="","No Chronic",Criteria!E18))</f>
        <v>1.6253207259008415</v>
      </c>
      <c r="K19">
        <v>20</v>
      </c>
      <c r="L19">
        <v>3.5</v>
      </c>
      <c r="M19">
        <v>0.46</v>
      </c>
      <c r="N19">
        <v>1</v>
      </c>
      <c r="O19">
        <v>0.1</v>
      </c>
      <c r="P19">
        <v>1.04</v>
      </c>
      <c r="Q19">
        <v>0.68</v>
      </c>
      <c r="R19">
        <f t="shared" si="20"/>
        <v>0.047619047619047616</v>
      </c>
      <c r="S19" s="2">
        <f>IF(C19="","",IF('data input for RPA'!I15="N","N",IF('data input for RPA'!J15="N",'data input for RPA'!L15,'data input for RPA'!K15)))</f>
        <v>0.8</v>
      </c>
      <c r="U19">
        <f t="shared" si="1"/>
        <v>409.8850922294714</v>
      </c>
      <c r="V19">
        <f t="shared" si="2"/>
        <v>9.053207259008415</v>
      </c>
      <c r="W19" t="str">
        <f t="shared" si="3"/>
        <v>No HH Criteria</v>
      </c>
      <c r="X19">
        <v>0.6</v>
      </c>
      <c r="Y19">
        <f t="shared" si="21"/>
        <v>0.30748469974796055</v>
      </c>
      <c r="Z19">
        <f t="shared" si="17"/>
        <v>0.5545130293761911</v>
      </c>
      <c r="AA19">
        <f t="shared" si="22"/>
        <v>0.08617769624105241</v>
      </c>
      <c r="AB19">
        <f t="shared" si="18"/>
        <v>0.293560379208524</v>
      </c>
      <c r="AC19">
        <f t="shared" si="23"/>
        <v>0.32108321379047927</v>
      </c>
      <c r="AD19">
        <f t="shared" si="24"/>
        <v>0.527433444097936</v>
      </c>
      <c r="AE19">
        <f t="shared" si="7"/>
        <v>131.60722269784569</v>
      </c>
      <c r="AF19">
        <f t="shared" si="8"/>
        <v>4.774964284751244</v>
      </c>
      <c r="AG19">
        <f t="shared" si="25"/>
        <v>0.08617769624105241</v>
      </c>
      <c r="AH19">
        <f t="shared" si="19"/>
        <v>0.293560379208524</v>
      </c>
      <c r="AI19">
        <f t="shared" si="10"/>
        <v>3.1144574273899703</v>
      </c>
      <c r="AJ19">
        <f>IF(AI19="","",EXP(1.645*AH19-0.5*AG19))</f>
        <v>1.5524246137530893</v>
      </c>
      <c r="AK19" s="386">
        <f t="shared" si="26"/>
        <v>14.871422982165349</v>
      </c>
      <c r="AL19" s="386">
        <f t="shared" si="27"/>
        <v>7.412772085439745</v>
      </c>
      <c r="AM19" s="408">
        <f t="shared" si="14"/>
      </c>
      <c r="AN19" s="374">
        <f t="shared" si="15"/>
      </c>
      <c r="AO19" s="384">
        <f t="shared" si="28"/>
        <v>14.871422982165349</v>
      </c>
      <c r="AP19" s="381">
        <f t="shared" si="29"/>
        <v>7.412772085439745</v>
      </c>
    </row>
    <row r="20" spans="1:42" ht="12.75">
      <c r="A20" s="223">
        <v>8</v>
      </c>
      <c r="B20" s="229" t="s">
        <v>263</v>
      </c>
      <c r="C20" t="str">
        <f>IF(RPA!S13="Y","Y","")</f>
        <v>Y</v>
      </c>
      <c r="D20">
        <f>IF(C20="","",IF(Criteria!C19="No Criteria","N",IF(SUM(Criteria!E19:F19)&gt;0,MIN(Criteria!E19:Criteria!F19),"")))</f>
        <v>0.025</v>
      </c>
      <c r="F20">
        <f>IF(C20="","",IF(Criteria!D19="","N",Criteria!D19))</f>
        <v>0.051</v>
      </c>
      <c r="I20">
        <f>IF(C20="","",IF(Criteria!F19="","No Acute",Criteria!F19))</f>
        <v>2.1</v>
      </c>
      <c r="J20">
        <f>IF(C20="","",IF(Criteria!E19="","No Chronic",Criteria!E19))</f>
        <v>0.025</v>
      </c>
      <c r="K20">
        <v>41</v>
      </c>
      <c r="L20">
        <v>0.0375</v>
      </c>
      <c r="M20">
        <v>0.0016</v>
      </c>
      <c r="N20">
        <v>2</v>
      </c>
      <c r="O20">
        <v>0.5</v>
      </c>
      <c r="P20">
        <v>7.82</v>
      </c>
      <c r="Q20">
        <v>6.28</v>
      </c>
      <c r="R20">
        <f t="shared" si="20"/>
        <v>0.046511627906976744</v>
      </c>
      <c r="S20" s="2">
        <f>IF(C20="","",IF('data input for RPA'!I16="N","N",IF('data input for RPA'!J16="N",'data input for RPA'!L16,'data input for RPA'!K16)))</f>
        <v>0.0086</v>
      </c>
      <c r="U20">
        <f>IF(C20="","",IF(I20="No Acute","",IF($E$1=0,I20,IF(S20="N","No Background",IF(I20&gt;S20,I20+$D$1*(I20-S20))))))</f>
        <v>2.1</v>
      </c>
      <c r="V20">
        <f>IF(C20="","",IF(J20="No chronic","",IF($E$1=0,J20,IF(S20="N","No Background",IF(J20&gt;S20,J20+$D$1*(J20-S20),J20)))))</f>
        <v>0.025</v>
      </c>
      <c r="W20">
        <f>IF(C20="","",IF(F20="N","No HH Criteria",IF(S20="N","No Background",IF(H20="Y",IF(F20&gt;T20,F20+$E$1*(F20-T20),F20),IF(F20&gt;S20,F20+$E$1*(F20-S20),F20)))))</f>
        <v>0.051</v>
      </c>
      <c r="X20">
        <v>1.1920272472910993</v>
      </c>
      <c r="Y20">
        <f t="shared" si="21"/>
        <v>0.8841513335701523</v>
      </c>
      <c r="Z20">
        <f t="shared" si="17"/>
        <v>0.9402932168053496</v>
      </c>
      <c r="AA20">
        <f t="shared" si="22"/>
        <v>0.3039728341627182</v>
      </c>
      <c r="AB20">
        <f t="shared" si="18"/>
        <v>0.5513373143210227</v>
      </c>
      <c r="AC20">
        <f t="shared" si="23"/>
        <v>0.17463689339793556</v>
      </c>
      <c r="AD20">
        <f t="shared" si="24"/>
        <v>0.32289626251501896</v>
      </c>
      <c r="AE20">
        <f t="shared" si="7"/>
        <v>0.3667374761356647</v>
      </c>
      <c r="AF20">
        <f t="shared" si="8"/>
        <v>0.008072406562875474</v>
      </c>
      <c r="AG20">
        <f t="shared" si="25"/>
        <v>0.3039728341627182</v>
      </c>
      <c r="AH20">
        <f t="shared" si="19"/>
        <v>0.5513373143210227</v>
      </c>
      <c r="AI20">
        <f t="shared" si="10"/>
        <v>5.726166908623108</v>
      </c>
      <c r="AJ20">
        <f aca="true" t="shared" si="30" ref="AJ20:AJ82">IF(AI20="","",EXP(1.645*AH20-0.5*AG20))</f>
        <v>2.1275337924387276</v>
      </c>
      <c r="AK20" s="386">
        <f t="shared" si="26"/>
        <v>0.04622394733328955</v>
      </c>
      <c r="AL20" s="386">
        <f t="shared" si="27"/>
        <v>0.017174317748821732</v>
      </c>
      <c r="AM20" s="408">
        <f t="shared" si="14"/>
        <v>0.13726433553143622</v>
      </c>
      <c r="AN20" s="374">
        <f t="shared" si="15"/>
        <v>0.051</v>
      </c>
      <c r="AO20" s="385">
        <f t="shared" si="28"/>
        <v>0.04622394733328955</v>
      </c>
      <c r="AP20" s="3">
        <f t="shared" si="29"/>
        <v>0.017174317748821732</v>
      </c>
    </row>
    <row r="21" spans="1:42" ht="12.75">
      <c r="A21" s="223">
        <v>9</v>
      </c>
      <c r="B21" s="231" t="s">
        <v>264</v>
      </c>
      <c r="C21" t="str">
        <f>IF(RPA!S14="Y","Y","")</f>
        <v>Y</v>
      </c>
      <c r="D21">
        <f>IF(C21="","",IF(Criteria!C20="No Criteria","N",IF(SUM(Criteria!E20:F20)&gt;0,MIN(Criteria!E20:Criteria!F20),"")))</f>
        <v>8.282828282828282</v>
      </c>
      <c r="F21">
        <f>IF(C21="","",IF(Criteria!D20="","N",Criteria!D20))</f>
        <v>4600</v>
      </c>
      <c r="I21">
        <f>IF(C21="","",IF(Criteria!F20="","No Acute",Criteria!F20))</f>
        <v>74.74747474747475</v>
      </c>
      <c r="J21">
        <f>IF(C21="","",IF(Criteria!E20="","No Chronic",Criteria!E20))</f>
        <v>8.282828282828282</v>
      </c>
      <c r="K21">
        <v>159</v>
      </c>
      <c r="L21">
        <v>87</v>
      </c>
      <c r="M21">
        <v>0.5</v>
      </c>
      <c r="N21">
        <v>1</v>
      </c>
      <c r="O21">
        <v>0.5</v>
      </c>
      <c r="P21">
        <v>15.23</v>
      </c>
      <c r="Q21">
        <v>7.37</v>
      </c>
      <c r="R21">
        <f t="shared" si="20"/>
        <v>0.00625</v>
      </c>
      <c r="S21" s="2">
        <f>IF(C21="","",IF('data input for RPA'!I17="N","N",IF('data input for RPA'!J17="N",'data input for RPA'!L17,'data input for RPA'!K17)))</f>
        <v>3.7</v>
      </c>
      <c r="U21">
        <f t="shared" si="1"/>
        <v>714.1747474747475</v>
      </c>
      <c r="V21">
        <f t="shared" si="2"/>
        <v>49.52828282828282</v>
      </c>
      <c r="W21">
        <f aca="true" t="shared" si="31" ref="W21:W84">IF(C21="","",IF(F21="N","No HH Criteria",IF(S21="N","No Background",IF(H21="Y",IF(F21&gt;T21,F21+$D$1*(F21-T21),F21),IF(F21&gt;S21,F21+$D$1*(F21-S21),F21)))))</f>
        <v>45966.700000000004</v>
      </c>
      <c r="X21">
        <v>0.2820213729088504</v>
      </c>
      <c r="Y21">
        <f t="shared" si="21"/>
        <v>0.07653136993085398</v>
      </c>
      <c r="Z21">
        <f t="shared" si="17"/>
        <v>0.2766430370185629</v>
      </c>
      <c r="AA21">
        <f t="shared" si="22"/>
        <v>0.019688908766108168</v>
      </c>
      <c r="AB21">
        <f t="shared" si="18"/>
        <v>0.14031717202861582</v>
      </c>
      <c r="AC21">
        <f t="shared" si="23"/>
        <v>0.545961936444058</v>
      </c>
      <c r="AD21">
        <f t="shared" si="24"/>
        <v>0.7286707553421207</v>
      </c>
      <c r="AE21">
        <f t="shared" si="7"/>
        <v>389.91222809075924</v>
      </c>
      <c r="AF21">
        <f t="shared" si="8"/>
        <v>36.089811259283024</v>
      </c>
      <c r="AG21">
        <f t="shared" si="25"/>
        <v>0.019688908766108168</v>
      </c>
      <c r="AH21">
        <f t="shared" si="19"/>
        <v>0.14031717202861582</v>
      </c>
      <c r="AI21">
        <f t="shared" si="10"/>
        <v>1.8316295207559128</v>
      </c>
      <c r="AJ21">
        <f t="shared" si="30"/>
        <v>1.2472951086658794</v>
      </c>
      <c r="AK21" s="386">
        <f t="shared" si="26"/>
        <v>66.10316370101191</v>
      </c>
      <c r="AL21" s="386">
        <f t="shared" si="27"/>
        <v>45.0146450563785</v>
      </c>
      <c r="AM21" s="408">
        <f t="shared" si="14"/>
        <v>67501.2385655754</v>
      </c>
      <c r="AN21" s="374">
        <f t="shared" si="15"/>
        <v>45966.700000000004</v>
      </c>
      <c r="AO21" s="384">
        <f t="shared" si="28"/>
        <v>66.10316370101191</v>
      </c>
      <c r="AP21" s="381">
        <f t="shared" si="29"/>
        <v>45.0146450563785</v>
      </c>
    </row>
    <row r="22" spans="1:42" ht="12.75">
      <c r="A22" s="223">
        <v>10</v>
      </c>
      <c r="B22" s="229" t="s">
        <v>265</v>
      </c>
      <c r="C22" t="str">
        <f>IF(RPA!S15="Y","Y","")</f>
        <v>Y</v>
      </c>
      <c r="D22">
        <f>IF(C22="","",IF(Criteria!C21="No Criteria","N",IF(SUM(Criteria!E21:F21)&gt;0,MIN(Criteria!E21:Criteria!F21),"")))</f>
        <v>5</v>
      </c>
      <c r="F22" t="str">
        <f>IF(C22="","",IF(Criteria!D21="","N",Criteria!D21))</f>
        <v>N</v>
      </c>
      <c r="I22">
        <f>IF(C22="","",IF(Criteria!F21="","No Acute",Criteria!F21))</f>
        <v>20</v>
      </c>
      <c r="J22">
        <f>IF(C22="","",IF(Criteria!E21="","No Chronic",Criteria!E21))</f>
        <v>5</v>
      </c>
      <c r="K22">
        <v>158</v>
      </c>
      <c r="L22">
        <v>41</v>
      </c>
      <c r="M22">
        <v>3.6</v>
      </c>
      <c r="N22">
        <v>2</v>
      </c>
      <c r="O22">
        <v>0.5</v>
      </c>
      <c r="P22">
        <v>11.26</v>
      </c>
      <c r="Q22">
        <v>5.57</v>
      </c>
      <c r="R22">
        <f t="shared" si="20"/>
        <v>0.0125</v>
      </c>
      <c r="S22" s="2">
        <f>IF(C22="","",IF('data input for RPA'!I18="N","N",IF('data input for RPA'!J18="N",'data input for RPA'!L18,'data input for RPA'!K18)))</f>
        <v>0.39</v>
      </c>
      <c r="U22">
        <f>IF(C22="","",IF(I22="No Acute","",IF($E$1=0,I22,IF(S22="N","No Background",IF(I22&gt;S22,I22+$E$1*(I22-S22))))))</f>
        <v>20</v>
      </c>
      <c r="V22">
        <f>IF(C22="","",IF(J22="No chronic","",IF($E$1=0,J22,IF(S22="N","No Background",IF(J22&gt;S22,J22+$E$1*(J22-S22),J22)))))</f>
        <v>5</v>
      </c>
      <c r="W22" t="str">
        <f>IF(C22="","",IF(F22="N","No HH Criteria",IF(S22="N","No Background",IF(H22="Y",IF(F22&gt;T22,F22+$E$1*(F22-T22),F22),IF(F22&gt;S22,F22+$E$1*(F22-S22),F22)))))</f>
        <v>No HH Criteria</v>
      </c>
      <c r="X22">
        <v>0.4133373281796024</v>
      </c>
      <c r="Y22">
        <f t="shared" si="21"/>
        <v>0.1577280564070719</v>
      </c>
      <c r="Z22">
        <f t="shared" si="17"/>
        <v>0.3971499167909669</v>
      </c>
      <c r="AA22">
        <f t="shared" si="22"/>
        <v>0.04182495063957177</v>
      </c>
      <c r="AB22">
        <f t="shared" si="18"/>
        <v>0.20451149268334964</v>
      </c>
      <c r="AC22">
        <f t="shared" si="23"/>
        <v>0.4295974471247196</v>
      </c>
      <c r="AD22">
        <f t="shared" si="24"/>
        <v>0.6345867643945696</v>
      </c>
      <c r="AE22">
        <f t="shared" si="7"/>
        <v>8.591948942494392</v>
      </c>
      <c r="AF22">
        <f t="shared" si="8"/>
        <v>3.172933821972848</v>
      </c>
      <c r="AG22">
        <f t="shared" si="25"/>
        <v>0.04182495063957177</v>
      </c>
      <c r="AH22">
        <f t="shared" si="19"/>
        <v>0.20451149268334964</v>
      </c>
      <c r="AI22">
        <f t="shared" si="10"/>
        <v>2.3277605737486673</v>
      </c>
      <c r="AJ22">
        <f t="shared" si="30"/>
        <v>1.3709568547113495</v>
      </c>
      <c r="AK22" s="386">
        <f t="shared" si="26"/>
        <v>7.385830253902069</v>
      </c>
      <c r="AL22" s="386">
        <f t="shared" si="27"/>
        <v>4.3499553727791564</v>
      </c>
      <c r="AM22" s="408">
        <f t="shared" si="14"/>
      </c>
      <c r="AN22" s="374">
        <f t="shared" si="15"/>
      </c>
      <c r="AO22" s="384">
        <f t="shared" si="28"/>
        <v>7.385830253902069</v>
      </c>
      <c r="AP22" s="381">
        <f t="shared" si="29"/>
        <v>4.3499553727791564</v>
      </c>
    </row>
    <row r="23" spans="1:42" ht="12.75">
      <c r="A23" s="223">
        <v>11</v>
      </c>
      <c r="B23" s="232" t="s">
        <v>266</v>
      </c>
      <c r="C23">
        <f>IF(RPA!S16="Y","Y","")</f>
      </c>
      <c r="D23">
        <f>IF(C23="","",IF(Criteria!C22="No Criteria","N",IF(SUM(Criteria!E22:F22)&gt;0,MIN(Criteria!E22:Criteria!F22),"")))</f>
      </c>
      <c r="F23">
        <f>IF(C23="","",IF(Criteria!D22="","N",Criteria!D22))</f>
      </c>
      <c r="I23">
        <f>IF(C23="","",IF(Criteria!F22="","No Acute",Criteria!F22))</f>
      </c>
      <c r="J23">
        <f>IF(C23="","",IF(Criteria!E22="","No Chronic",Criteria!E22))</f>
      </c>
      <c r="R23">
        <f t="shared" si="20"/>
      </c>
      <c r="S23" s="2">
        <f>IF(C23="","",IF('data input for RPA'!I19="N","N",IF('data input for RPA'!J19="N",'data input for RPA'!L19,'data input for RPA'!K19)))</f>
      </c>
      <c r="U23">
        <f t="shared" si="1"/>
      </c>
      <c r="V23">
        <f t="shared" si="2"/>
      </c>
      <c r="W23">
        <f t="shared" si="31"/>
      </c>
      <c r="Y23">
        <f t="shared" si="21"/>
      </c>
      <c r="Z23">
        <f t="shared" si="17"/>
      </c>
      <c r="AA23">
        <f t="shared" si="22"/>
      </c>
      <c r="AB23">
        <f t="shared" si="18"/>
      </c>
      <c r="AC23">
        <f t="shared" si="23"/>
      </c>
      <c r="AD23">
        <f t="shared" si="24"/>
      </c>
      <c r="AE23">
        <f t="shared" si="7"/>
      </c>
      <c r="AF23">
        <f t="shared" si="8"/>
      </c>
      <c r="AG23">
        <f t="shared" si="25"/>
      </c>
      <c r="AH23">
        <f t="shared" si="19"/>
      </c>
      <c r="AI23">
        <f t="shared" si="10"/>
      </c>
      <c r="AJ23">
        <f t="shared" si="30"/>
      </c>
      <c r="AK23" s="386">
        <f t="shared" si="26"/>
      </c>
      <c r="AL23" s="386">
        <f t="shared" si="27"/>
      </c>
      <c r="AM23" s="408">
        <f t="shared" si="14"/>
      </c>
      <c r="AN23" s="374">
        <f t="shared" si="15"/>
      </c>
      <c r="AO23" s="384">
        <f t="shared" si="28"/>
      </c>
      <c r="AP23" s="381">
        <f t="shared" si="29"/>
      </c>
    </row>
    <row r="24" spans="1:42" ht="12.75">
      <c r="A24" s="223">
        <v>12</v>
      </c>
      <c r="B24" s="232" t="s">
        <v>91</v>
      </c>
      <c r="C24">
        <f>IF(RPA!S17="Y","Y","")</f>
      </c>
      <c r="D24">
        <f>IF(C24="","",IF(Criteria!C23="No Criteria","N",IF(SUM(Criteria!E23:F23)&gt;0,MIN(Criteria!E23:Criteria!F23),"")))</f>
      </c>
      <c r="F24">
        <f>IF(C24="","",IF(Criteria!D23="","N",Criteria!D23))</f>
      </c>
      <c r="I24">
        <f>IF(C24="","",IF(Criteria!F23="","No Acute",Criteria!F23))</f>
      </c>
      <c r="J24">
        <f>IF(C24="","",IF(Criteria!E23="","No Chronic",Criteria!E23))</f>
      </c>
      <c r="K24">
        <v>2</v>
      </c>
      <c r="L24">
        <v>13</v>
      </c>
      <c r="M24">
        <v>0.2</v>
      </c>
      <c r="N24">
        <v>13</v>
      </c>
      <c r="O24">
        <v>0.1</v>
      </c>
      <c r="R24">
        <f t="shared" si="20"/>
        <v>0.8666666666666667</v>
      </c>
      <c r="S24" s="2">
        <f>IF(C24="","",IF('data input for RPA'!I20="N","N",IF('data input for RPA'!J20="N",'data input for RPA'!L20,'data input for RPA'!K20)))</f>
      </c>
      <c r="U24">
        <f t="shared" si="1"/>
      </c>
      <c r="V24">
        <f t="shared" si="2"/>
      </c>
      <c r="W24">
        <f t="shared" si="31"/>
      </c>
      <c r="Y24">
        <f t="shared" si="21"/>
      </c>
      <c r="Z24">
        <f t="shared" si="17"/>
      </c>
      <c r="AA24">
        <f t="shared" si="22"/>
      </c>
      <c r="AB24">
        <f t="shared" si="18"/>
      </c>
      <c r="AC24">
        <f t="shared" si="23"/>
      </c>
      <c r="AD24">
        <f t="shared" si="24"/>
      </c>
      <c r="AE24">
        <f t="shared" si="7"/>
      </c>
      <c r="AF24">
        <f t="shared" si="8"/>
      </c>
      <c r="AG24">
        <f t="shared" si="25"/>
      </c>
      <c r="AH24">
        <f t="shared" si="19"/>
      </c>
      <c r="AI24">
        <f t="shared" si="10"/>
      </c>
      <c r="AJ24">
        <f t="shared" si="30"/>
      </c>
      <c r="AK24" s="386">
        <f t="shared" si="26"/>
      </c>
      <c r="AL24" s="386">
        <f t="shared" si="27"/>
      </c>
      <c r="AM24" s="408">
        <f t="shared" si="14"/>
      </c>
      <c r="AN24" s="374">
        <f t="shared" si="15"/>
      </c>
      <c r="AO24" s="384">
        <f t="shared" si="28"/>
      </c>
      <c r="AP24" s="381">
        <f t="shared" si="29"/>
      </c>
    </row>
    <row r="25" spans="1:41" ht="12.75">
      <c r="A25" s="223">
        <v>13</v>
      </c>
      <c r="B25" s="229" t="s">
        <v>267</v>
      </c>
      <c r="C25">
        <f>IF(RPA!S18="Y","Y","")</f>
      </c>
      <c r="D25">
        <f>IF(C25="","",IF(Criteria!C24="No Criteria","N",IF(SUM(Criteria!E24:F24)&gt;0,MIN(Criteria!E24:Criteria!F24),"")))</f>
      </c>
      <c r="F25">
        <f>IF(C25="","",IF(Criteria!D24="","N",Criteria!D24))</f>
      </c>
      <c r="I25">
        <f>IF(C25="","",IF(Criteria!F24="","No Acute",Criteria!F24))</f>
      </c>
      <c r="J25">
        <f>IF(C25="","",IF(Criteria!E24="","No Chronic",Criteria!E24))</f>
      </c>
      <c r="S25" s="2">
        <f>IF(C25="","",IF('data input for RPA'!I21="N","N",IF('data input for RPA'!J21="N",'data input for RPA'!L21,'data input for RPA'!K21)))</f>
      </c>
      <c r="AI25">
        <f t="shared" si="10"/>
      </c>
      <c r="AM25" s="408">
        <f t="shared" si="14"/>
      </c>
      <c r="AN25" s="374">
        <f t="shared" si="15"/>
      </c>
      <c r="AO25" s="384"/>
    </row>
    <row r="26" spans="1:42" ht="12.75">
      <c r="A26" s="223">
        <v>14</v>
      </c>
      <c r="B26" s="229" t="s">
        <v>268</v>
      </c>
      <c r="C26" t="str">
        <f>IF(RPA!S19="Y","Y","")</f>
        <v>Y</v>
      </c>
      <c r="D26">
        <f>IF(C26="","",IF(Criteria!C25="No Criteria","N",IF(SUM(Criteria!E25:F25)&gt;0,MIN(Criteria!E25:Criteria!F25),"")))</f>
        <v>1</v>
      </c>
      <c r="F26">
        <f>IF(C26="","",IF(Criteria!D25="","N",Criteria!D25))</f>
        <v>220000</v>
      </c>
      <c r="I26">
        <f>IF(C26="","",IF(Criteria!F25="","No Acute",Criteria!F25))</f>
        <v>1</v>
      </c>
      <c r="J26">
        <f>IF(C26="","",IF(Criteria!E25="","No Chronic",Criteria!E25))</f>
        <v>1</v>
      </c>
      <c r="K26">
        <v>6</v>
      </c>
      <c r="L26">
        <v>14</v>
      </c>
      <c r="M26">
        <v>10</v>
      </c>
      <c r="N26">
        <v>107</v>
      </c>
      <c r="O26">
        <v>10</v>
      </c>
      <c r="R26">
        <f t="shared" si="20"/>
        <v>0.9469026548672567</v>
      </c>
      <c r="S26" s="2">
        <f>IF(C26="","",IF('data input for RPA'!I22="N","N",IF('data input for RPA'!J22="N",'data input for RPA'!L22,'data input for RPA'!K22)))</f>
        <v>0.4</v>
      </c>
      <c r="U26">
        <f>IF(C26="","",IF(I26="No Acute","",IF($D$1=0,I26,IF(S26="N","No Background",IF(I26&gt;S26,I26+$D$1*(I26-S26))))))</f>
        <v>6.3999999999999995</v>
      </c>
      <c r="V26">
        <f>IF(C26="","",IF(J26="No chronic","",IF($D$1=0,J26,IF(S26="N","No Background",IF(J26&gt;S26,J26+$D$1*(J26-S26),J26)))))</f>
        <v>6.3999999999999995</v>
      </c>
      <c r="W26">
        <f>IF(C26="","",IF(F26="N","No HH Criteria",IF(D1=0,F26,IF(S26="N","No Background",IF(H26="Y",IF(F26&gt;T26,F26+$D$1*(F26-T26),F26),IF(F26&gt;S26,F26+$D$1*(F26-S26),F26))))))</f>
        <v>2199996.4000000004</v>
      </c>
      <c r="X26">
        <v>0.44563333050360127</v>
      </c>
      <c r="Y26">
        <f t="shared" si="21"/>
        <v>0.1811450860700248</v>
      </c>
      <c r="Z26">
        <f t="shared" si="17"/>
        <v>0.42561142615069064</v>
      </c>
      <c r="AA26">
        <f t="shared" si="22"/>
        <v>0.048454170886136634</v>
      </c>
      <c r="AB26">
        <f t="shared" si="18"/>
        <v>0.22012308122079483</v>
      </c>
      <c r="AC26">
        <f t="shared" si="23"/>
        <v>0.4068138235495507</v>
      </c>
      <c r="AD26">
        <f t="shared" si="24"/>
        <v>0.6139884258152062</v>
      </c>
      <c r="AE26">
        <f t="shared" si="7"/>
        <v>2.6036084707171243</v>
      </c>
      <c r="AF26">
        <f t="shared" si="8"/>
        <v>3.929525925217319</v>
      </c>
      <c r="AG26">
        <f t="shared" si="25"/>
        <v>0.048454170886136634</v>
      </c>
      <c r="AH26">
        <f t="shared" si="19"/>
        <v>0.22012308122079483</v>
      </c>
      <c r="AI26">
        <f t="shared" si="10"/>
        <v>2.4581268927263924</v>
      </c>
      <c r="AJ26">
        <f t="shared" si="30"/>
        <v>1.401965783980473</v>
      </c>
      <c r="AK26" s="386">
        <f t="shared" si="26"/>
        <v>6.3999999999999995</v>
      </c>
      <c r="AL26" s="386">
        <f t="shared" si="27"/>
        <v>3.6501699908271332</v>
      </c>
      <c r="AM26" s="408">
        <f t="shared" si="14"/>
        <v>3857348.286623073</v>
      </c>
      <c r="AN26" s="374">
        <f t="shared" si="15"/>
        <v>2199996.4000000004</v>
      </c>
      <c r="AO26" s="384">
        <f t="shared" si="28"/>
        <v>6.3999999999999995</v>
      </c>
      <c r="AP26" s="381">
        <f t="shared" si="29"/>
        <v>3.6501699908271332</v>
      </c>
    </row>
    <row r="27" spans="1:42" ht="12.75">
      <c r="A27" s="223">
        <v>15</v>
      </c>
      <c r="B27" s="224" t="s">
        <v>94</v>
      </c>
      <c r="C27">
        <f>IF(RPA!S20="Y","Y","")</f>
      </c>
      <c r="D27">
        <f>IF(C27="","",IF(Criteria!C26="No Criteria","N",IF(SUM(Criteria!E26:F26)&gt;0,MIN(Criteria!E26:Criteria!F26),"")))</f>
      </c>
      <c r="F27">
        <f>IF(C27="","",IF(Criteria!D26="","N",Criteria!D26))</f>
      </c>
      <c r="I27">
        <f>IF(C27="","",IF(Criteria!F26="","No Acute",Criteria!F26))</f>
      </c>
      <c r="J27">
        <f>IF(C27="","",IF(Criteria!E26="","No Chronic",Criteria!E26))</f>
      </c>
      <c r="R27">
        <f t="shared" si="20"/>
      </c>
      <c r="S27" s="2">
        <f>IF(C27="","",IF('data input for RPA'!I23="N","N",IF('data input for RPA'!J23="N",'data input for RPA'!L23,'data input for RPA'!K23)))</f>
      </c>
      <c r="U27">
        <f aca="true" t="shared" si="32" ref="U27:U90">IF(C27="","",IF(I27="No Acute","",IF($D$1=0,I27,IF(S27="N","No Background",IF(I27&gt;S27,I27+$D$1*(I27-S27))))))</f>
      </c>
      <c r="V27">
        <f aca="true" t="shared" si="33" ref="V27:V90">IF(C27="","",IF(J27="No chronic","",IF($D$1=0,J27,IF(S27="N","No Background",IF(J27&gt;S27,J27+$D$1*(J27-S27),J27)))))</f>
      </c>
      <c r="W27">
        <f t="shared" si="31"/>
      </c>
      <c r="Z27">
        <f t="shared" si="17"/>
      </c>
      <c r="AA27">
        <f t="shared" si="22"/>
      </c>
      <c r="AB27">
        <f t="shared" si="18"/>
      </c>
      <c r="AC27">
        <f t="shared" si="23"/>
      </c>
      <c r="AD27">
        <f t="shared" si="24"/>
      </c>
      <c r="AE27">
        <f t="shared" si="7"/>
      </c>
      <c r="AF27">
        <f t="shared" si="8"/>
      </c>
      <c r="AG27">
        <f t="shared" si="25"/>
      </c>
      <c r="AH27">
        <f t="shared" si="19"/>
      </c>
      <c r="AI27">
        <f t="shared" si="10"/>
      </c>
      <c r="AK27" s="386">
        <f t="shared" si="26"/>
      </c>
      <c r="AL27" s="386">
        <f t="shared" si="27"/>
      </c>
      <c r="AM27" s="408">
        <f t="shared" si="14"/>
      </c>
      <c r="AN27" s="374">
        <f t="shared" si="15"/>
      </c>
      <c r="AO27" s="384">
        <f t="shared" si="28"/>
      </c>
      <c r="AP27" s="381">
        <f t="shared" si="29"/>
      </c>
    </row>
    <row r="28" spans="1:41" ht="12.75">
      <c r="A28" s="233">
        <v>16</v>
      </c>
      <c r="B28" s="423" t="s">
        <v>369</v>
      </c>
      <c r="AM28" s="408"/>
      <c r="AN28" s="374"/>
      <c r="AO28" s="384"/>
    </row>
    <row r="29" spans="2:42" ht="12.75">
      <c r="B29" s="234" t="s">
        <v>367</v>
      </c>
      <c r="C29" t="str">
        <f>IF(RPA!S22="Y","Y","")</f>
        <v>Y</v>
      </c>
      <c r="D29">
        <f>IF(C29="","",IF(Criteria!C27="No Criteria","N",IF(SUM(Criteria!E27:F27)&gt;0,MIN(Criteria!E27:Criteria!F27),"")))</f>
      </c>
      <c r="F29">
        <f>IF(C29="","",IF(Criteria!D27="","N",Criteria!D27))</f>
        <v>1.4E-08</v>
      </c>
      <c r="I29" s="2" t="str">
        <f>IF(C29="","",IF(Criteria!F27="","No Acute",Criteria!F27))</f>
        <v>No Acute</v>
      </c>
      <c r="J29" s="2" t="str">
        <f>IF(C29="","",IF(Criteria!E27="","No Chronic",Criteria!E27))</f>
        <v>No Chronic</v>
      </c>
      <c r="K29">
        <v>3</v>
      </c>
      <c r="L29">
        <v>4.2E-07</v>
      </c>
      <c r="R29">
        <f t="shared" si="20"/>
        <v>0</v>
      </c>
      <c r="S29" s="2">
        <f>IF(C29="","",IF('data input for RPA'!I24="N","N",IF('data input for RPA'!J24="N",'data input for RPA'!L24,'data input for RPA'!K24)))</f>
        <v>7.1E-08</v>
      </c>
      <c r="U29">
        <f t="shared" si="32"/>
      </c>
      <c r="V29">
        <f t="shared" si="33"/>
      </c>
      <c r="W29">
        <f t="shared" si="31"/>
        <v>1.4E-08</v>
      </c>
      <c r="X29">
        <v>0.6</v>
      </c>
      <c r="Y29">
        <f t="shared" si="21"/>
        <v>0.30748469974796055</v>
      </c>
      <c r="Z29">
        <f t="shared" si="17"/>
        <v>0.5545130293761911</v>
      </c>
      <c r="AA29">
        <f t="shared" si="22"/>
        <v>0.08617769624105241</v>
      </c>
      <c r="AB29">
        <f t="shared" si="18"/>
        <v>0.293560379208524</v>
      </c>
      <c r="AC29">
        <f t="shared" si="23"/>
        <v>0.32108321379047927</v>
      </c>
      <c r="AD29">
        <f t="shared" si="24"/>
        <v>0.527433444097936</v>
      </c>
      <c r="AE29">
        <f t="shared" si="7"/>
      </c>
      <c r="AF29">
        <f t="shared" si="8"/>
      </c>
      <c r="AG29">
        <f t="shared" si="25"/>
        <v>0.08617769624105241</v>
      </c>
      <c r="AH29">
        <f t="shared" si="19"/>
        <v>0.293560379208524</v>
      </c>
      <c r="AI29">
        <f>IF(C29="","",EXP(2.326*Z29-0.5*Y29))</f>
        <v>3.1144574273899703</v>
      </c>
      <c r="AJ29">
        <f t="shared" si="30"/>
        <v>1.5524246137530893</v>
      </c>
      <c r="AK29" s="386">
        <f t="shared" si="26"/>
        <v>0</v>
      </c>
      <c r="AL29" s="386">
        <f t="shared" si="27"/>
        <v>0</v>
      </c>
      <c r="AM29" s="420">
        <f t="shared" si="14"/>
        <v>2.808664819997145E-08</v>
      </c>
      <c r="AN29" s="419">
        <f t="shared" si="15"/>
        <v>1.4E-08</v>
      </c>
      <c r="AO29" s="384">
        <f t="shared" si="28"/>
        <v>0</v>
      </c>
      <c r="AP29" s="381">
        <f t="shared" si="29"/>
        <v>0</v>
      </c>
    </row>
    <row r="30" spans="1:42" ht="12.75">
      <c r="A30" s="223">
        <v>17</v>
      </c>
      <c r="B30" s="232" t="s">
        <v>96</v>
      </c>
      <c r="C30">
        <f>IF(RPA!S23="Y","Y","")</f>
      </c>
      <c r="D30">
        <f>IF(C30="","",IF(Criteria!C29="No Criteria","N",IF(SUM(Criteria!E29:F29)&gt;0,MIN(Criteria!E29:Criteria!F29),"")))</f>
      </c>
      <c r="F30">
        <f>IF(C30="","",IF(Criteria!D29="","N",Criteria!D29))</f>
      </c>
      <c r="I30">
        <f>IF(C30="","",IF(Criteria!F29="","No Acute",Criteria!F29))</f>
      </c>
      <c r="J30">
        <f>IF(C30="","",IF(Criteria!E29="","No Chronic",Criteria!E29))</f>
      </c>
      <c r="R30">
        <f t="shared" si="20"/>
      </c>
      <c r="S30" s="2">
        <f>IF(C30="","",IF('data input for RPA'!I25="N","N",IF('data input for RPA'!J25="N",'data input for RPA'!L25,'data input for RPA'!K25)))</f>
      </c>
      <c r="U30">
        <f t="shared" si="32"/>
      </c>
      <c r="V30">
        <f t="shared" si="33"/>
      </c>
      <c r="W30">
        <f t="shared" si="31"/>
      </c>
      <c r="Y30">
        <f t="shared" si="21"/>
      </c>
      <c r="Z30">
        <f t="shared" si="17"/>
      </c>
      <c r="AA30">
        <f t="shared" si="22"/>
      </c>
      <c r="AB30">
        <f t="shared" si="18"/>
      </c>
      <c r="AC30">
        <f t="shared" si="23"/>
      </c>
      <c r="AD30">
        <f t="shared" si="24"/>
      </c>
      <c r="AE30">
        <f t="shared" si="7"/>
      </c>
      <c r="AF30">
        <f t="shared" si="8"/>
      </c>
      <c r="AG30">
        <f t="shared" si="25"/>
      </c>
      <c r="AH30">
        <f t="shared" si="19"/>
      </c>
      <c r="AI30">
        <f aca="true" t="shared" si="34" ref="AI30:AI93">IF(C30="","",EXP(2.326*Z30-0.5*Y30))</f>
      </c>
      <c r="AK30" s="386">
        <f t="shared" si="26"/>
      </c>
      <c r="AL30" s="386">
        <f t="shared" si="27"/>
      </c>
      <c r="AM30" s="408">
        <f t="shared" si="14"/>
      </c>
      <c r="AN30" s="374">
        <f t="shared" si="15"/>
      </c>
      <c r="AO30" s="384">
        <f t="shared" si="28"/>
      </c>
      <c r="AP30" s="381">
        <f t="shared" si="29"/>
      </c>
    </row>
    <row r="31" spans="1:42" ht="12.75">
      <c r="A31" s="223">
        <v>18</v>
      </c>
      <c r="B31" s="232" t="s">
        <v>97</v>
      </c>
      <c r="C31">
        <f>IF(RPA!S24="Y","Y","")</f>
      </c>
      <c r="D31">
        <f>IF(C31="","",IF(Criteria!C30="No Criteria","N",IF(SUM(Criteria!E30:F30)&gt;0,MIN(Criteria!E30:Criteria!F30),"")))</f>
      </c>
      <c r="F31">
        <f>IF(C31="","",IF(Criteria!D30="","N",Criteria!D30))</f>
      </c>
      <c r="I31">
        <f>IF(C31="","",IF(Criteria!F30="","No Acute",Criteria!F30))</f>
      </c>
      <c r="J31">
        <f>IF(C31="","",IF(Criteria!E30="","No Chronic",Criteria!E30))</f>
      </c>
      <c r="R31">
        <f t="shared" si="20"/>
      </c>
      <c r="S31" s="2">
        <f>IF(C31="","",IF('data input for RPA'!I26="N","N",IF('data input for RPA'!J26="N",'data input for RPA'!L26,'data input for RPA'!K26)))</f>
      </c>
      <c r="U31">
        <f t="shared" si="32"/>
      </c>
      <c r="V31">
        <f t="shared" si="33"/>
      </c>
      <c r="W31">
        <f t="shared" si="31"/>
      </c>
      <c r="Y31">
        <f t="shared" si="21"/>
      </c>
      <c r="Z31">
        <f t="shared" si="17"/>
      </c>
      <c r="AA31">
        <f t="shared" si="22"/>
      </c>
      <c r="AB31">
        <f t="shared" si="18"/>
      </c>
      <c r="AC31">
        <f t="shared" si="23"/>
      </c>
      <c r="AD31">
        <f t="shared" si="24"/>
      </c>
      <c r="AE31">
        <f t="shared" si="7"/>
      </c>
      <c r="AF31">
        <f t="shared" si="8"/>
      </c>
      <c r="AG31">
        <f t="shared" si="25"/>
      </c>
      <c r="AH31">
        <f t="shared" si="19"/>
      </c>
      <c r="AI31">
        <f t="shared" si="34"/>
      </c>
      <c r="AJ31">
        <f t="shared" si="30"/>
      </c>
      <c r="AK31" s="386">
        <f t="shared" si="26"/>
      </c>
      <c r="AL31" s="386">
        <f t="shared" si="27"/>
      </c>
      <c r="AM31" s="408">
        <f t="shared" si="14"/>
      </c>
      <c r="AN31" s="374">
        <f t="shared" si="15"/>
      </c>
      <c r="AO31" s="384">
        <f t="shared" si="28"/>
      </c>
      <c r="AP31" s="381">
        <f t="shared" si="29"/>
      </c>
    </row>
    <row r="32" spans="1:42" ht="12.75">
      <c r="A32" s="223">
        <v>19</v>
      </c>
      <c r="B32" s="232" t="s">
        <v>98</v>
      </c>
      <c r="C32">
        <f>IF(RPA!S25="Y","Y","")</f>
      </c>
      <c r="D32">
        <f>IF(C32="","",IF(Criteria!C31="No Criteria","N",IF(SUM(Criteria!E31:F31)&gt;0,MIN(Criteria!E31:Criteria!F31),"")))</f>
      </c>
      <c r="F32">
        <f>IF(C32="","",IF(Criteria!D31="","N",Criteria!D31))</f>
      </c>
      <c r="I32">
        <f>IF(C32="","",IF(Criteria!F31="","No Acute",Criteria!F31))</f>
      </c>
      <c r="J32">
        <f>IF(C32="","",IF(Criteria!E31="","No Chronic",Criteria!E31))</f>
      </c>
      <c r="R32">
        <f t="shared" si="20"/>
      </c>
      <c r="S32" s="2">
        <f>IF(C32="","",IF('data input for RPA'!I27="N","N",IF('data input for RPA'!J27="N",'data input for RPA'!L27,'data input for RPA'!K27)))</f>
      </c>
      <c r="U32">
        <f t="shared" si="32"/>
      </c>
      <c r="V32">
        <f t="shared" si="33"/>
      </c>
      <c r="W32">
        <f t="shared" si="31"/>
      </c>
      <c r="Y32">
        <f t="shared" si="21"/>
      </c>
      <c r="Z32">
        <f t="shared" si="17"/>
      </c>
      <c r="AA32">
        <f t="shared" si="22"/>
      </c>
      <c r="AB32">
        <f t="shared" si="18"/>
      </c>
      <c r="AC32">
        <f t="shared" si="23"/>
      </c>
      <c r="AD32">
        <f t="shared" si="24"/>
      </c>
      <c r="AE32">
        <f t="shared" si="7"/>
      </c>
      <c r="AF32">
        <f t="shared" si="8"/>
      </c>
      <c r="AG32">
        <f t="shared" si="25"/>
      </c>
      <c r="AH32">
        <f t="shared" si="19"/>
      </c>
      <c r="AI32">
        <f t="shared" si="34"/>
      </c>
      <c r="AJ32">
        <f t="shared" si="30"/>
      </c>
      <c r="AK32" s="386">
        <f t="shared" si="26"/>
      </c>
      <c r="AL32" s="386">
        <f t="shared" si="27"/>
      </c>
      <c r="AM32" s="408">
        <f t="shared" si="14"/>
      </c>
      <c r="AN32" s="374">
        <f t="shared" si="15"/>
      </c>
      <c r="AO32" s="384">
        <f t="shared" si="28"/>
      </c>
      <c r="AP32" s="381">
        <f t="shared" si="29"/>
      </c>
    </row>
    <row r="33" spans="1:42" ht="12.75">
      <c r="A33" s="223">
        <v>20</v>
      </c>
      <c r="B33" s="224" t="s">
        <v>99</v>
      </c>
      <c r="C33">
        <f>IF(RPA!S26="Y","Y","")</f>
      </c>
      <c r="D33">
        <f>IF(C33="","",IF(Criteria!C32="No Criteria","N",IF(SUM(Criteria!E32:F32)&gt;0,MIN(Criteria!E32:Criteria!F32),"")))</f>
      </c>
      <c r="F33">
        <f>IF(C33="","",IF(Criteria!D32="","N",Criteria!D32))</f>
      </c>
      <c r="I33">
        <f>IF(C33="","",IF(Criteria!F32="","No Acute",Criteria!F32))</f>
      </c>
      <c r="J33">
        <f>IF(C33="","",IF(Criteria!E32="","No Chronic",Criteria!E32))</f>
      </c>
      <c r="R33">
        <f t="shared" si="20"/>
      </c>
      <c r="S33" s="2">
        <f>IF(C33="","",IF('data input for RPA'!I28="N","N",IF('data input for RPA'!J28="N",'data input for RPA'!L28,'data input for RPA'!K28)))</f>
      </c>
      <c r="U33">
        <f t="shared" si="32"/>
      </c>
      <c r="V33">
        <f t="shared" si="33"/>
      </c>
      <c r="W33">
        <f t="shared" si="31"/>
      </c>
      <c r="Y33">
        <f t="shared" si="21"/>
      </c>
      <c r="Z33">
        <f t="shared" si="17"/>
      </c>
      <c r="AA33">
        <f t="shared" si="22"/>
      </c>
      <c r="AB33">
        <f t="shared" si="18"/>
      </c>
      <c r="AC33">
        <f t="shared" si="23"/>
      </c>
      <c r="AD33">
        <f t="shared" si="24"/>
      </c>
      <c r="AE33">
        <f t="shared" si="7"/>
      </c>
      <c r="AF33">
        <f t="shared" si="8"/>
      </c>
      <c r="AG33">
        <f t="shared" si="25"/>
      </c>
      <c r="AH33">
        <f t="shared" si="19"/>
      </c>
      <c r="AI33">
        <f t="shared" si="34"/>
      </c>
      <c r="AJ33">
        <f t="shared" si="30"/>
      </c>
      <c r="AK33" s="386">
        <f t="shared" si="26"/>
      </c>
      <c r="AL33" s="386">
        <f t="shared" si="27"/>
      </c>
      <c r="AM33" s="408">
        <f t="shared" si="14"/>
      </c>
      <c r="AN33" s="374">
        <f t="shared" si="15"/>
      </c>
      <c r="AO33" s="384">
        <f t="shared" si="28"/>
      </c>
      <c r="AP33" s="381">
        <f t="shared" si="29"/>
      </c>
    </row>
    <row r="34" spans="1:42" ht="12.75">
      <c r="A34" s="223">
        <v>21</v>
      </c>
      <c r="B34" s="224" t="s">
        <v>100</v>
      </c>
      <c r="C34">
        <f>IF(RPA!S27="Y","Y","")</f>
      </c>
      <c r="D34">
        <f>IF(C34="","",IF(Criteria!C33="No Criteria","N",IF(SUM(Criteria!E33:F33)&gt;0,MIN(Criteria!E33:Criteria!F33),"")))</f>
      </c>
      <c r="F34">
        <f>IF(C34="","",IF(Criteria!D33="","N",Criteria!D33))</f>
      </c>
      <c r="I34">
        <f>IF(C34="","",IF(Criteria!F33="","No Acute",Criteria!F33))</f>
      </c>
      <c r="J34">
        <f>IF(C34="","",IF(Criteria!E33="","No Chronic",Criteria!E33))</f>
      </c>
      <c r="R34">
        <f t="shared" si="20"/>
      </c>
      <c r="S34" s="2">
        <f>IF(C34="","",IF('data input for RPA'!I29="N","N",IF('data input for RPA'!J29="N",'data input for RPA'!L29,'data input for RPA'!K29)))</f>
      </c>
      <c r="U34">
        <f t="shared" si="32"/>
      </c>
      <c r="V34">
        <f t="shared" si="33"/>
      </c>
      <c r="W34">
        <f t="shared" si="31"/>
      </c>
      <c r="Y34">
        <f t="shared" si="21"/>
      </c>
      <c r="Z34">
        <f t="shared" si="17"/>
      </c>
      <c r="AA34">
        <f t="shared" si="22"/>
      </c>
      <c r="AB34">
        <f t="shared" si="18"/>
      </c>
      <c r="AC34">
        <f t="shared" si="23"/>
      </c>
      <c r="AD34">
        <f t="shared" si="24"/>
      </c>
      <c r="AE34">
        <f t="shared" si="7"/>
      </c>
      <c r="AF34">
        <f t="shared" si="8"/>
      </c>
      <c r="AG34">
        <f t="shared" si="25"/>
      </c>
      <c r="AH34">
        <f t="shared" si="19"/>
      </c>
      <c r="AI34">
        <f t="shared" si="34"/>
      </c>
      <c r="AJ34">
        <f t="shared" si="30"/>
      </c>
      <c r="AK34" s="386">
        <f t="shared" si="26"/>
      </c>
      <c r="AL34" s="386">
        <f t="shared" si="27"/>
      </c>
      <c r="AM34" s="408">
        <f t="shared" si="14"/>
      </c>
      <c r="AN34" s="374">
        <f t="shared" si="15"/>
      </c>
      <c r="AO34" s="384">
        <f t="shared" si="28"/>
      </c>
      <c r="AP34" s="381">
        <f t="shared" si="29"/>
      </c>
    </row>
    <row r="35" spans="1:42" ht="12.75">
      <c r="A35" s="223">
        <v>22</v>
      </c>
      <c r="B35" s="224" t="s">
        <v>101</v>
      </c>
      <c r="C35">
        <f>IF(RPA!S28="Y","Y","")</f>
      </c>
      <c r="D35">
        <f>IF(C35="","",IF(Criteria!C34="No Criteria","N",IF(SUM(Criteria!E34:F34)&gt;0,MIN(Criteria!E34:Criteria!F34),"")))</f>
      </c>
      <c r="F35">
        <f>IF(C35="","",IF(Criteria!D34="","N",Criteria!D34))</f>
      </c>
      <c r="I35">
        <f>IF(C35="","",IF(Criteria!F34="","No Acute",Criteria!F34))</f>
      </c>
      <c r="J35">
        <f>IF(C35="","",IF(Criteria!E34="","No Chronic",Criteria!E34))</f>
      </c>
      <c r="R35">
        <f t="shared" si="20"/>
      </c>
      <c r="S35" s="2">
        <f>IF(C35="","",IF('data input for RPA'!I30="N","N",IF('data input for RPA'!J30="N",'data input for RPA'!L30,'data input for RPA'!K30)))</f>
      </c>
      <c r="U35">
        <f t="shared" si="32"/>
      </c>
      <c r="V35">
        <f t="shared" si="33"/>
      </c>
      <c r="W35">
        <f t="shared" si="31"/>
      </c>
      <c r="Y35">
        <f t="shared" si="21"/>
      </c>
      <c r="Z35">
        <f t="shared" si="17"/>
      </c>
      <c r="AA35">
        <f t="shared" si="22"/>
      </c>
      <c r="AB35">
        <f t="shared" si="18"/>
      </c>
      <c r="AC35">
        <f t="shared" si="23"/>
      </c>
      <c r="AD35">
        <f t="shared" si="24"/>
      </c>
      <c r="AE35">
        <f t="shared" si="7"/>
      </c>
      <c r="AF35">
        <f t="shared" si="8"/>
      </c>
      <c r="AG35">
        <f t="shared" si="25"/>
      </c>
      <c r="AH35">
        <f t="shared" si="19"/>
      </c>
      <c r="AI35">
        <f t="shared" si="34"/>
      </c>
      <c r="AJ35">
        <f t="shared" si="30"/>
      </c>
      <c r="AK35" s="386">
        <f t="shared" si="26"/>
      </c>
      <c r="AL35" s="386">
        <f t="shared" si="27"/>
      </c>
      <c r="AM35" s="408">
        <f t="shared" si="14"/>
      </c>
      <c r="AN35" s="374">
        <f t="shared" si="15"/>
      </c>
      <c r="AO35" s="384">
        <f t="shared" si="28"/>
      </c>
      <c r="AP35" s="381">
        <f t="shared" si="29"/>
      </c>
    </row>
    <row r="36" spans="1:42" ht="12.75">
      <c r="A36" s="223">
        <v>23</v>
      </c>
      <c r="B36" s="224" t="s">
        <v>219</v>
      </c>
      <c r="C36">
        <f>IF(RPA!S29="Y","Y","")</f>
      </c>
      <c r="D36">
        <f>IF(C36="","",IF(Criteria!C35="No Criteria","N",IF(SUM(Criteria!E35:F35)&gt;0,MIN(Criteria!E35:Criteria!F35),"")))</f>
      </c>
      <c r="F36">
        <f>IF(C36="","",IF(Criteria!D35="","N",Criteria!D35))</f>
      </c>
      <c r="I36">
        <f>IF(C36="","",IF(Criteria!F35="","No Acute",Criteria!F35))</f>
      </c>
      <c r="J36">
        <f>IF(C36="","",IF(Criteria!E35="","No Chronic",Criteria!E35))</f>
      </c>
      <c r="R36">
        <f t="shared" si="20"/>
      </c>
      <c r="S36" s="2">
        <f>IF(C36="","",IF('data input for RPA'!I31="N","N",IF('data input for RPA'!J31="N",'data input for RPA'!L31,'data input for RPA'!K31)))</f>
      </c>
      <c r="U36">
        <f t="shared" si="32"/>
      </c>
      <c r="V36">
        <f t="shared" si="33"/>
      </c>
      <c r="W36">
        <f t="shared" si="31"/>
      </c>
      <c r="Y36">
        <f t="shared" si="21"/>
      </c>
      <c r="Z36">
        <f t="shared" si="17"/>
      </c>
      <c r="AA36">
        <f t="shared" si="22"/>
      </c>
      <c r="AB36">
        <f t="shared" si="18"/>
      </c>
      <c r="AC36">
        <f t="shared" si="23"/>
      </c>
      <c r="AD36">
        <f t="shared" si="24"/>
      </c>
      <c r="AE36">
        <f t="shared" si="7"/>
      </c>
      <c r="AF36">
        <f t="shared" si="8"/>
      </c>
      <c r="AG36">
        <f t="shared" si="25"/>
      </c>
      <c r="AH36">
        <f t="shared" si="19"/>
      </c>
      <c r="AI36">
        <f t="shared" si="34"/>
      </c>
      <c r="AJ36">
        <f t="shared" si="30"/>
      </c>
      <c r="AK36" s="386">
        <f t="shared" si="26"/>
      </c>
      <c r="AL36" s="386">
        <f t="shared" si="27"/>
      </c>
      <c r="AM36" s="408">
        <f t="shared" si="14"/>
      </c>
      <c r="AN36" s="374">
        <f t="shared" si="15"/>
      </c>
      <c r="AO36" s="384">
        <f t="shared" si="28"/>
      </c>
      <c r="AP36" s="381">
        <f t="shared" si="29"/>
      </c>
    </row>
    <row r="37" spans="1:42" ht="12.75">
      <c r="A37" s="223">
        <v>24</v>
      </c>
      <c r="B37" s="224" t="s">
        <v>103</v>
      </c>
      <c r="C37">
        <f>IF(RPA!S30="Y","Y","")</f>
      </c>
      <c r="D37">
        <f>IF(C37="","",IF(Criteria!C36="No Criteria","N",IF(SUM(Criteria!E36:F36)&gt;0,MIN(Criteria!E36:Criteria!F36),"")))</f>
      </c>
      <c r="F37">
        <f>IF(C37="","",IF(Criteria!D36="","N",Criteria!D36))</f>
      </c>
      <c r="I37">
        <f>IF(C37="","",IF(Criteria!F36="","No Acute",Criteria!F36))</f>
      </c>
      <c r="J37">
        <f>IF(C37="","",IF(Criteria!E36="","No Chronic",Criteria!E36))</f>
      </c>
      <c r="R37">
        <f t="shared" si="20"/>
      </c>
      <c r="S37" s="2">
        <f>IF(C37="","",IF('data input for RPA'!I32="N","N",IF('data input for RPA'!J32="N",'data input for RPA'!L32,'data input for RPA'!K32)))</f>
      </c>
      <c r="U37">
        <f t="shared" si="32"/>
      </c>
      <c r="V37">
        <f t="shared" si="33"/>
      </c>
      <c r="W37">
        <f t="shared" si="31"/>
      </c>
      <c r="Y37">
        <f t="shared" si="21"/>
      </c>
      <c r="Z37">
        <f t="shared" si="17"/>
      </c>
      <c r="AA37">
        <f t="shared" si="22"/>
      </c>
      <c r="AB37">
        <f t="shared" si="18"/>
      </c>
      <c r="AC37">
        <f t="shared" si="23"/>
      </c>
      <c r="AD37">
        <f t="shared" si="24"/>
      </c>
      <c r="AE37">
        <f t="shared" si="7"/>
      </c>
      <c r="AF37">
        <f t="shared" si="8"/>
      </c>
      <c r="AG37">
        <f t="shared" si="25"/>
      </c>
      <c r="AH37">
        <f t="shared" si="19"/>
      </c>
      <c r="AI37">
        <f t="shared" si="34"/>
      </c>
      <c r="AJ37">
        <f t="shared" si="30"/>
      </c>
      <c r="AK37" s="386">
        <f t="shared" si="26"/>
      </c>
      <c r="AL37" s="386">
        <f t="shared" si="27"/>
      </c>
      <c r="AM37" s="408">
        <f t="shared" si="14"/>
      </c>
      <c r="AN37" s="374">
        <f t="shared" si="15"/>
      </c>
      <c r="AO37" s="384">
        <f t="shared" si="28"/>
      </c>
      <c r="AP37" s="381">
        <f t="shared" si="29"/>
      </c>
    </row>
    <row r="38" spans="1:42" ht="12.75">
      <c r="A38" s="223">
        <v>25</v>
      </c>
      <c r="B38" s="224" t="s">
        <v>220</v>
      </c>
      <c r="C38">
        <f>IF(RPA!S31="Y","Y","")</f>
      </c>
      <c r="D38">
        <f>IF(C38="","",IF(Criteria!C37="No Criteria","N",IF(SUM(Criteria!E37:F37)&gt;0,MIN(Criteria!E37:Criteria!F37),"")))</f>
      </c>
      <c r="F38">
        <f>IF(C38="","",IF(Criteria!D37="","N",Criteria!D37))</f>
      </c>
      <c r="I38">
        <f>IF(C38="","",IF(Criteria!F37="","No Acute",Criteria!F37))</f>
      </c>
      <c r="J38">
        <f>IF(C38="","",IF(Criteria!E37="","No Chronic",Criteria!E37))</f>
      </c>
      <c r="R38">
        <f t="shared" si="20"/>
      </c>
      <c r="S38" s="2">
        <f>IF(C38="","",IF('data input for RPA'!I33="N","N",IF('data input for RPA'!J33="N",'data input for RPA'!L33,'data input for RPA'!K33)))</f>
      </c>
      <c r="U38">
        <f t="shared" si="32"/>
      </c>
      <c r="V38">
        <f t="shared" si="33"/>
      </c>
      <c r="W38">
        <f t="shared" si="31"/>
      </c>
      <c r="Y38">
        <f t="shared" si="21"/>
      </c>
      <c r="Z38">
        <f t="shared" si="17"/>
      </c>
      <c r="AA38">
        <f t="shared" si="22"/>
      </c>
      <c r="AB38">
        <f t="shared" si="18"/>
      </c>
      <c r="AC38">
        <f t="shared" si="23"/>
      </c>
      <c r="AD38">
        <f t="shared" si="24"/>
      </c>
      <c r="AE38">
        <f t="shared" si="7"/>
      </c>
      <c r="AF38">
        <f t="shared" si="8"/>
      </c>
      <c r="AG38">
        <f t="shared" si="25"/>
      </c>
      <c r="AH38">
        <f t="shared" si="19"/>
      </c>
      <c r="AI38">
        <f t="shared" si="34"/>
      </c>
      <c r="AJ38">
        <f t="shared" si="30"/>
      </c>
      <c r="AK38" s="386">
        <f t="shared" si="26"/>
      </c>
      <c r="AL38" s="386">
        <f t="shared" si="27"/>
      </c>
      <c r="AM38" s="408">
        <f t="shared" si="14"/>
      </c>
      <c r="AN38" s="374">
        <f t="shared" si="15"/>
      </c>
      <c r="AO38" s="384">
        <f t="shared" si="28"/>
      </c>
      <c r="AP38" s="381">
        <f t="shared" si="29"/>
      </c>
    </row>
    <row r="39" spans="1:42" ht="12.75">
      <c r="A39" s="223">
        <v>26</v>
      </c>
      <c r="B39" s="224" t="s">
        <v>105</v>
      </c>
      <c r="C39">
        <f>IF(RPA!S32="Y","Y","")</f>
      </c>
      <c r="D39">
        <f>IF(C39="","",IF(Criteria!C38="No Criteria","N",IF(SUM(Criteria!E38:F38)&gt;0,MIN(Criteria!E38:Criteria!F38),"")))</f>
      </c>
      <c r="F39">
        <f>IF(C39="","",IF(Criteria!D38="","N",Criteria!D38))</f>
      </c>
      <c r="I39">
        <f>IF(C39="","",IF(Criteria!F38="","No Acute",Criteria!F38))</f>
      </c>
      <c r="R39">
        <f t="shared" si="20"/>
      </c>
      <c r="S39" s="2">
        <f>IF(C39="","",IF('data input for RPA'!I34="N","N",IF('data input for RPA'!J34="N",'data input for RPA'!L34,'data input for RPA'!K34)))</f>
      </c>
      <c r="U39">
        <f t="shared" si="32"/>
      </c>
      <c r="V39">
        <f t="shared" si="33"/>
      </c>
      <c r="W39">
        <f t="shared" si="31"/>
      </c>
      <c r="Y39">
        <f t="shared" si="21"/>
      </c>
      <c r="Z39">
        <f t="shared" si="17"/>
      </c>
      <c r="AA39">
        <f t="shared" si="22"/>
      </c>
      <c r="AB39">
        <f t="shared" si="18"/>
      </c>
      <c r="AC39">
        <f t="shared" si="23"/>
      </c>
      <c r="AD39">
        <f t="shared" si="24"/>
      </c>
      <c r="AE39">
        <f t="shared" si="7"/>
      </c>
      <c r="AF39">
        <f t="shared" si="8"/>
      </c>
      <c r="AG39">
        <f t="shared" si="25"/>
      </c>
      <c r="AH39">
        <f t="shared" si="19"/>
      </c>
      <c r="AI39">
        <f t="shared" si="34"/>
      </c>
      <c r="AJ39">
        <f t="shared" si="30"/>
      </c>
      <c r="AK39" s="386">
        <f t="shared" si="26"/>
      </c>
      <c r="AL39" s="386">
        <f t="shared" si="27"/>
      </c>
      <c r="AM39" s="408">
        <f t="shared" si="14"/>
      </c>
      <c r="AN39" s="374">
        <f t="shared" si="15"/>
      </c>
      <c r="AO39" s="384">
        <f t="shared" si="28"/>
      </c>
      <c r="AP39" s="381">
        <f t="shared" si="29"/>
      </c>
    </row>
    <row r="40" spans="1:42" ht="12.75">
      <c r="A40" s="223">
        <v>27</v>
      </c>
      <c r="B40" s="224" t="s">
        <v>106</v>
      </c>
      <c r="C40">
        <f>IF(RPA!S33="Y","Y","")</f>
      </c>
      <c r="D40">
        <f>IF(C40="","",IF(Criteria!C39="No Criteria","N",IF(SUM(Criteria!E39:F39)&gt;0,MIN(Criteria!E39:Criteria!F39),"")))</f>
      </c>
      <c r="F40">
        <f>IF(C40="","",IF(Criteria!D39="","N",Criteria!D39))</f>
      </c>
      <c r="I40">
        <f>IF(C40="","",IF(Criteria!F39="","No Acute",Criteria!F39))</f>
      </c>
      <c r="J40">
        <f>IF(C40="","",IF(Criteria!E39="","No Chronic",Criteria!E39))</f>
      </c>
      <c r="R40">
        <f t="shared" si="20"/>
      </c>
      <c r="S40" s="2">
        <f>IF(C40="","",IF('data input for RPA'!I35="N","N",IF('data input for RPA'!J35="N",'data input for RPA'!L35,'data input for RPA'!K35)))</f>
      </c>
      <c r="U40">
        <f t="shared" si="32"/>
      </c>
      <c r="V40">
        <f t="shared" si="33"/>
      </c>
      <c r="W40">
        <f t="shared" si="31"/>
      </c>
      <c r="Y40">
        <f t="shared" si="21"/>
      </c>
      <c r="Z40">
        <f t="shared" si="17"/>
      </c>
      <c r="AA40">
        <f t="shared" si="22"/>
      </c>
      <c r="AB40">
        <f t="shared" si="18"/>
      </c>
      <c r="AC40">
        <f t="shared" si="23"/>
      </c>
      <c r="AD40">
        <f t="shared" si="24"/>
      </c>
      <c r="AE40">
        <f t="shared" si="7"/>
      </c>
      <c r="AF40">
        <f t="shared" si="8"/>
      </c>
      <c r="AG40">
        <f t="shared" si="25"/>
      </c>
      <c r="AH40">
        <f t="shared" si="19"/>
      </c>
      <c r="AI40">
        <f t="shared" si="34"/>
      </c>
      <c r="AJ40">
        <f t="shared" si="30"/>
      </c>
      <c r="AK40" s="386">
        <f t="shared" si="26"/>
      </c>
      <c r="AL40" s="386">
        <f t="shared" si="27"/>
      </c>
      <c r="AM40" s="408">
        <f t="shared" si="14"/>
      </c>
      <c r="AN40" s="374">
        <f t="shared" si="15"/>
      </c>
      <c r="AO40" s="384">
        <f t="shared" si="28"/>
      </c>
      <c r="AP40" s="381">
        <f t="shared" si="29"/>
      </c>
    </row>
    <row r="41" spans="1:42" ht="12.75">
      <c r="A41" s="223">
        <v>28</v>
      </c>
      <c r="B41" s="224" t="s">
        <v>0</v>
      </c>
      <c r="C41">
        <f>IF(RPA!S34="Y","Y","")</f>
      </c>
      <c r="D41">
        <f>IF(C41="","",IF(Criteria!C40="No Criteria","N",IF(SUM(Criteria!E40:F40)&gt;0,MIN(Criteria!E40:Criteria!F40),"")))</f>
      </c>
      <c r="F41">
        <f>IF(C41="","",IF(Criteria!D40="","N",Criteria!D40))</f>
      </c>
      <c r="I41">
        <f>IF(C41="","",IF(Criteria!F40="","No Acute",Criteria!F40))</f>
      </c>
      <c r="J41">
        <f>IF(C41="","",IF(Criteria!E40="","No Chronic",Criteria!E40))</f>
      </c>
      <c r="R41">
        <f t="shared" si="20"/>
      </c>
      <c r="S41" s="2">
        <f>IF(C41="","",IF('data input for RPA'!I36="N","N",IF('data input for RPA'!J36="N",'data input for RPA'!L36,'data input for RPA'!K36)))</f>
      </c>
      <c r="U41">
        <f t="shared" si="32"/>
      </c>
      <c r="V41">
        <f t="shared" si="33"/>
      </c>
      <c r="W41">
        <f t="shared" si="31"/>
      </c>
      <c r="Y41">
        <f t="shared" si="21"/>
      </c>
      <c r="Z41">
        <f t="shared" si="17"/>
      </c>
      <c r="AA41">
        <f t="shared" si="22"/>
      </c>
      <c r="AB41">
        <f t="shared" si="18"/>
      </c>
      <c r="AC41">
        <f t="shared" si="23"/>
      </c>
      <c r="AD41">
        <f t="shared" si="24"/>
      </c>
      <c r="AE41">
        <f t="shared" si="7"/>
      </c>
      <c r="AF41">
        <f t="shared" si="8"/>
      </c>
      <c r="AG41">
        <f t="shared" si="25"/>
      </c>
      <c r="AH41">
        <f t="shared" si="19"/>
      </c>
      <c r="AI41">
        <f t="shared" si="34"/>
      </c>
      <c r="AJ41">
        <f t="shared" si="30"/>
      </c>
      <c r="AK41" s="386">
        <f t="shared" si="26"/>
      </c>
      <c r="AL41" s="386">
        <f t="shared" si="27"/>
      </c>
      <c r="AM41" s="408">
        <f t="shared" si="14"/>
      </c>
      <c r="AN41" s="374">
        <f t="shared" si="15"/>
      </c>
      <c r="AO41" s="384">
        <f t="shared" si="28"/>
      </c>
      <c r="AP41" s="381">
        <f t="shared" si="29"/>
      </c>
    </row>
    <row r="42" spans="1:42" ht="12.75">
      <c r="A42" s="223">
        <v>29</v>
      </c>
      <c r="B42" s="224" t="s">
        <v>1</v>
      </c>
      <c r="C42">
        <f>IF(RPA!S35="Y","Y","")</f>
      </c>
      <c r="D42">
        <f>IF(C42="","",IF(Criteria!C41="No Criteria","N",IF(SUM(Criteria!E41:F41)&gt;0,MIN(Criteria!E41:Criteria!F41),"")))</f>
      </c>
      <c r="F42">
        <f>IF(C42="","",IF(Criteria!D41="","N",Criteria!D41))</f>
      </c>
      <c r="I42">
        <f>IF(C42="","",IF(Criteria!F41="","No Acute",Criteria!F41))</f>
      </c>
      <c r="J42">
        <f>IF(C42="","",IF(Criteria!E41="","No Chronic",Criteria!E41))</f>
      </c>
      <c r="R42">
        <f t="shared" si="20"/>
      </c>
      <c r="S42" s="2">
        <f>IF(C42="","",IF('data input for RPA'!I37="N","N",IF('data input for RPA'!J37="N",'data input for RPA'!L37,'data input for RPA'!K37)))</f>
      </c>
      <c r="U42">
        <f t="shared" si="32"/>
      </c>
      <c r="V42">
        <f t="shared" si="33"/>
      </c>
      <c r="W42">
        <f t="shared" si="31"/>
      </c>
      <c r="Y42">
        <f t="shared" si="21"/>
      </c>
      <c r="Z42">
        <f t="shared" si="17"/>
      </c>
      <c r="AA42">
        <f t="shared" si="22"/>
      </c>
      <c r="AB42">
        <f t="shared" si="18"/>
      </c>
      <c r="AC42">
        <f t="shared" si="23"/>
      </c>
      <c r="AD42">
        <f t="shared" si="24"/>
      </c>
      <c r="AE42">
        <f t="shared" si="7"/>
      </c>
      <c r="AF42">
        <f t="shared" si="8"/>
      </c>
      <c r="AG42">
        <f t="shared" si="25"/>
      </c>
      <c r="AH42">
        <f t="shared" si="19"/>
      </c>
      <c r="AI42">
        <f t="shared" si="34"/>
      </c>
      <c r="AJ42">
        <f t="shared" si="30"/>
      </c>
      <c r="AK42" s="386">
        <f t="shared" si="26"/>
      </c>
      <c r="AL42" s="386">
        <f t="shared" si="27"/>
      </c>
      <c r="AM42" s="408">
        <f t="shared" si="14"/>
      </c>
      <c r="AN42" s="374">
        <f t="shared" si="15"/>
      </c>
      <c r="AO42" s="384">
        <f t="shared" si="28"/>
      </c>
      <c r="AP42" s="381">
        <f t="shared" si="29"/>
      </c>
    </row>
    <row r="43" spans="1:42" ht="12.75">
      <c r="A43" s="223">
        <v>30</v>
      </c>
      <c r="B43" s="224" t="s">
        <v>2</v>
      </c>
      <c r="C43">
        <f>IF(RPA!S36="Y","Y","")</f>
      </c>
      <c r="D43">
        <f>IF(C43="","",IF(Criteria!C42="No Criteria","N",IF(SUM(Criteria!E42:F42)&gt;0,MIN(Criteria!E42:Criteria!F42),"")))</f>
      </c>
      <c r="F43">
        <f>IF(C43="","",IF(Criteria!D42="","N",Criteria!D42))</f>
      </c>
      <c r="I43">
        <f>IF(C43="","",IF(Criteria!F42="","No Acute",Criteria!F42))</f>
      </c>
      <c r="J43">
        <f>IF(C43="","",IF(Criteria!E42="","No Chronic",Criteria!E42))</f>
      </c>
      <c r="R43">
        <f t="shared" si="20"/>
      </c>
      <c r="S43" s="2">
        <f>IF(C43="","",IF('data input for RPA'!I38="N","N",IF('data input for RPA'!J38="N",'data input for RPA'!L38,'data input for RPA'!K38)))</f>
      </c>
      <c r="U43">
        <f t="shared" si="32"/>
      </c>
      <c r="V43">
        <f t="shared" si="33"/>
      </c>
      <c r="W43">
        <f t="shared" si="31"/>
      </c>
      <c r="Y43">
        <f t="shared" si="21"/>
      </c>
      <c r="Z43">
        <f t="shared" si="17"/>
      </c>
      <c r="AA43">
        <f t="shared" si="22"/>
      </c>
      <c r="AB43">
        <f t="shared" si="18"/>
      </c>
      <c r="AC43">
        <f t="shared" si="23"/>
      </c>
      <c r="AD43">
        <f t="shared" si="24"/>
      </c>
      <c r="AE43">
        <f t="shared" si="7"/>
      </c>
      <c r="AF43">
        <f t="shared" si="8"/>
      </c>
      <c r="AG43">
        <f t="shared" si="25"/>
      </c>
      <c r="AH43">
        <f t="shared" si="19"/>
      </c>
      <c r="AI43">
        <f t="shared" si="34"/>
      </c>
      <c r="AJ43">
        <f t="shared" si="30"/>
      </c>
      <c r="AK43" s="386">
        <f t="shared" si="26"/>
      </c>
      <c r="AL43" s="386">
        <f t="shared" si="27"/>
      </c>
      <c r="AM43" s="408">
        <f t="shared" si="14"/>
      </c>
      <c r="AN43" s="374">
        <f t="shared" si="15"/>
      </c>
      <c r="AO43" s="384">
        <f t="shared" si="28"/>
      </c>
      <c r="AP43" s="381">
        <f t="shared" si="29"/>
      </c>
    </row>
    <row r="44" spans="1:42" ht="12.75">
      <c r="A44" s="223">
        <v>31</v>
      </c>
      <c r="B44" s="224" t="s">
        <v>3</v>
      </c>
      <c r="C44">
        <f>IF(RPA!S37="Y","Y","")</f>
      </c>
      <c r="D44">
        <f>IF(C44="","",IF(Criteria!C43="No Criteria","N",IF(SUM(Criteria!E43:F43)&gt;0,MIN(Criteria!E43:Criteria!F43),"")))</f>
      </c>
      <c r="F44">
        <f>IF(C44="","",IF(Criteria!D43="","N",Criteria!D43))</f>
      </c>
      <c r="I44">
        <f>IF(C44="","",IF(Criteria!F43="","No Acute",Criteria!F43))</f>
      </c>
      <c r="J44">
        <f>IF(C44="","",IF(Criteria!E43="","No Chronic",Criteria!E43))</f>
      </c>
      <c r="R44">
        <f t="shared" si="20"/>
      </c>
      <c r="S44" s="2">
        <f>IF(C44="","",IF('data input for RPA'!I39="N","N",IF('data input for RPA'!J39="N",'data input for RPA'!L39,'data input for RPA'!K39)))</f>
      </c>
      <c r="U44">
        <f t="shared" si="32"/>
      </c>
      <c r="V44">
        <f t="shared" si="33"/>
      </c>
      <c r="W44">
        <f t="shared" si="31"/>
      </c>
      <c r="Y44">
        <f t="shared" si="21"/>
      </c>
      <c r="Z44">
        <f t="shared" si="17"/>
      </c>
      <c r="AA44">
        <f t="shared" si="22"/>
      </c>
      <c r="AB44">
        <f t="shared" si="18"/>
      </c>
      <c r="AC44">
        <f t="shared" si="23"/>
      </c>
      <c r="AD44">
        <f t="shared" si="24"/>
      </c>
      <c r="AE44">
        <f t="shared" si="7"/>
      </c>
      <c r="AF44">
        <f t="shared" si="8"/>
      </c>
      <c r="AG44">
        <f t="shared" si="25"/>
      </c>
      <c r="AH44">
        <f t="shared" si="19"/>
      </c>
      <c r="AI44">
        <f t="shared" si="34"/>
      </c>
      <c r="AJ44">
        <f t="shared" si="30"/>
      </c>
      <c r="AK44" s="386">
        <f t="shared" si="26"/>
      </c>
      <c r="AL44" s="386">
        <f t="shared" si="27"/>
      </c>
      <c r="AM44" s="408">
        <f t="shared" si="14"/>
      </c>
      <c r="AN44" s="374">
        <f t="shared" si="15"/>
      </c>
      <c r="AO44" s="384">
        <f t="shared" si="28"/>
      </c>
      <c r="AP44" s="381">
        <f t="shared" si="29"/>
      </c>
    </row>
    <row r="45" spans="1:42" ht="12.75">
      <c r="A45" s="223">
        <v>32</v>
      </c>
      <c r="B45" s="224" t="s">
        <v>4</v>
      </c>
      <c r="C45">
        <f>IF(RPA!S38="Y","Y","")</f>
      </c>
      <c r="D45">
        <f>IF(C45="","",IF(Criteria!C44="No Criteria","N",IF(SUM(Criteria!E44:F44)&gt;0,MIN(Criteria!E44:Criteria!F44),"")))</f>
      </c>
      <c r="F45">
        <f>IF(C45="","",IF(Criteria!D44="","N",Criteria!D44))</f>
      </c>
      <c r="I45">
        <f>IF(C45="","",IF(Criteria!F44="","No Acute",Criteria!F44))</f>
      </c>
      <c r="J45">
        <f>IF(C45="","",IF(Criteria!E44="","No Chronic",Criteria!E44))</f>
      </c>
      <c r="R45">
        <f t="shared" si="20"/>
      </c>
      <c r="S45" s="2">
        <f>IF(C45="","",IF('data input for RPA'!I40="N","N",IF('data input for RPA'!J40="N",'data input for RPA'!L40,'data input for RPA'!K40)))</f>
      </c>
      <c r="U45">
        <f t="shared" si="32"/>
      </c>
      <c r="V45">
        <f t="shared" si="33"/>
      </c>
      <c r="W45">
        <f t="shared" si="31"/>
      </c>
      <c r="Y45">
        <f t="shared" si="21"/>
      </c>
      <c r="Z45">
        <f t="shared" si="17"/>
      </c>
      <c r="AA45">
        <f t="shared" si="22"/>
      </c>
      <c r="AB45">
        <f t="shared" si="18"/>
      </c>
      <c r="AC45">
        <f t="shared" si="23"/>
      </c>
      <c r="AD45">
        <f t="shared" si="24"/>
      </c>
      <c r="AE45">
        <f t="shared" si="7"/>
      </c>
      <c r="AF45">
        <f t="shared" si="8"/>
      </c>
      <c r="AG45">
        <f t="shared" si="25"/>
      </c>
      <c r="AH45">
        <f t="shared" si="19"/>
      </c>
      <c r="AI45">
        <f t="shared" si="34"/>
      </c>
      <c r="AJ45">
        <f t="shared" si="30"/>
      </c>
      <c r="AK45" s="386">
        <f t="shared" si="26"/>
      </c>
      <c r="AL45" s="386">
        <f t="shared" si="27"/>
      </c>
      <c r="AM45" s="408">
        <f t="shared" si="14"/>
      </c>
      <c r="AN45" s="374">
        <f t="shared" si="15"/>
      </c>
      <c r="AO45" s="384">
        <f t="shared" si="28"/>
      </c>
      <c r="AP45" s="381">
        <f t="shared" si="29"/>
      </c>
    </row>
    <row r="46" spans="1:42" ht="12.75">
      <c r="A46" s="223">
        <v>33</v>
      </c>
      <c r="B46" s="224" t="s">
        <v>5</v>
      </c>
      <c r="C46">
        <f>IF(RPA!S39="Y","Y","")</f>
      </c>
      <c r="D46">
        <f>IF(C46="","",IF(Criteria!C45="No Criteria","N",IF(SUM(Criteria!E45:F45)&gt;0,MIN(Criteria!E45:Criteria!F45),"")))</f>
      </c>
      <c r="F46">
        <f>IF(C46="","",IF(Criteria!D45="","N",Criteria!D45))</f>
      </c>
      <c r="I46">
        <f>IF(C46="","",IF(Criteria!F45="","No Acute",Criteria!F45))</f>
      </c>
      <c r="J46">
        <f>IF(C46="","",IF(Criteria!E45="","No Chronic",Criteria!E45))</f>
      </c>
      <c r="R46">
        <f t="shared" si="20"/>
      </c>
      <c r="S46" s="2">
        <f>IF(C46="","",IF('data input for RPA'!I41="N","N",IF('data input for RPA'!J41="N",'data input for RPA'!L41,'data input for RPA'!K41)))</f>
      </c>
      <c r="U46">
        <f t="shared" si="32"/>
      </c>
      <c r="V46">
        <f t="shared" si="33"/>
      </c>
      <c r="W46">
        <f t="shared" si="31"/>
      </c>
      <c r="Y46">
        <f t="shared" si="21"/>
      </c>
      <c r="Z46">
        <f t="shared" si="17"/>
      </c>
      <c r="AA46">
        <f t="shared" si="22"/>
      </c>
      <c r="AB46">
        <f t="shared" si="18"/>
      </c>
      <c r="AC46">
        <f t="shared" si="23"/>
      </c>
      <c r="AD46">
        <f t="shared" si="24"/>
      </c>
      <c r="AE46">
        <f t="shared" si="7"/>
      </c>
      <c r="AF46">
        <f t="shared" si="8"/>
      </c>
      <c r="AG46">
        <f t="shared" si="25"/>
      </c>
      <c r="AH46">
        <f t="shared" si="19"/>
      </c>
      <c r="AI46">
        <f t="shared" si="34"/>
      </c>
      <c r="AJ46">
        <f t="shared" si="30"/>
      </c>
      <c r="AK46" s="386">
        <f t="shared" si="26"/>
      </c>
      <c r="AL46" s="386">
        <f t="shared" si="27"/>
      </c>
      <c r="AM46" s="408">
        <f t="shared" si="14"/>
      </c>
      <c r="AN46" s="374">
        <f t="shared" si="15"/>
      </c>
      <c r="AO46" s="384">
        <f t="shared" si="28"/>
      </c>
      <c r="AP46" s="381">
        <f t="shared" si="29"/>
      </c>
    </row>
    <row r="47" spans="1:42" ht="12.75">
      <c r="A47" s="223">
        <v>34</v>
      </c>
      <c r="B47" s="224" t="s">
        <v>6</v>
      </c>
      <c r="C47">
        <f>IF(RPA!S40="Y","Y","")</f>
      </c>
      <c r="D47">
        <f>IF(C47="","",IF(Criteria!C46="No Criteria","N",IF(SUM(Criteria!E46:F46)&gt;0,MIN(Criteria!E46:Criteria!F46),"")))</f>
      </c>
      <c r="F47">
        <f>IF(C47="","",IF(Criteria!D46="","N",Criteria!D46))</f>
      </c>
      <c r="I47">
        <f>IF(C47="","",IF(Criteria!F46="","No Acute",Criteria!F46))</f>
      </c>
      <c r="J47">
        <f>IF(C47="","",IF(Criteria!E46="","No Chronic",Criteria!E46))</f>
      </c>
      <c r="R47">
        <f t="shared" si="20"/>
      </c>
      <c r="S47" s="2">
        <f>IF(C47="","",IF('data input for RPA'!I42="N","N",IF('data input for RPA'!J42="N",'data input for RPA'!L42,'data input for RPA'!K42)))</f>
      </c>
      <c r="U47">
        <f t="shared" si="32"/>
      </c>
      <c r="V47">
        <f t="shared" si="33"/>
      </c>
      <c r="W47">
        <f t="shared" si="31"/>
      </c>
      <c r="Y47">
        <f t="shared" si="21"/>
      </c>
      <c r="Z47">
        <f t="shared" si="17"/>
      </c>
      <c r="AA47">
        <f t="shared" si="22"/>
      </c>
      <c r="AB47">
        <f t="shared" si="18"/>
      </c>
      <c r="AC47">
        <f t="shared" si="23"/>
      </c>
      <c r="AD47">
        <f t="shared" si="24"/>
      </c>
      <c r="AE47">
        <f t="shared" si="7"/>
      </c>
      <c r="AF47">
        <f t="shared" si="8"/>
      </c>
      <c r="AG47">
        <f t="shared" si="25"/>
      </c>
      <c r="AH47">
        <f t="shared" si="19"/>
      </c>
      <c r="AI47">
        <f t="shared" si="34"/>
      </c>
      <c r="AJ47">
        <f t="shared" si="30"/>
      </c>
      <c r="AK47" s="386">
        <f t="shared" si="26"/>
      </c>
      <c r="AL47" s="386">
        <f t="shared" si="27"/>
      </c>
      <c r="AM47" s="408">
        <f t="shared" si="14"/>
      </c>
      <c r="AN47" s="374">
        <f t="shared" si="15"/>
      </c>
      <c r="AO47" s="384">
        <f t="shared" si="28"/>
      </c>
      <c r="AP47" s="381">
        <f t="shared" si="29"/>
      </c>
    </row>
    <row r="48" spans="1:42" ht="12.75">
      <c r="A48" s="223">
        <v>35</v>
      </c>
      <c r="B48" s="224" t="s">
        <v>7</v>
      </c>
      <c r="C48">
        <f>IF(RPA!S41="Y","Y","")</f>
      </c>
      <c r="D48">
        <f>IF(C48="","",IF(Criteria!C47="No Criteria","N",IF(SUM(Criteria!E47:F47)&gt;0,MIN(Criteria!E47:Criteria!F47),"")))</f>
      </c>
      <c r="F48">
        <f>IF(C48="","",IF(Criteria!D47="","N",Criteria!D47))</f>
      </c>
      <c r="I48">
        <f>IF(C48="","",IF(Criteria!F47="","No Acute",Criteria!F47))</f>
      </c>
      <c r="J48">
        <f>IF(C48="","",IF(Criteria!E47="","No Chronic",Criteria!E47))</f>
      </c>
      <c r="R48">
        <f t="shared" si="20"/>
      </c>
      <c r="S48" s="2">
        <f>IF(C48="","",IF('data input for RPA'!I43="N","N",IF('data input for RPA'!J43="N",'data input for RPA'!L43,'data input for RPA'!K43)))</f>
      </c>
      <c r="U48">
        <f t="shared" si="32"/>
      </c>
      <c r="V48">
        <f t="shared" si="33"/>
      </c>
      <c r="W48">
        <f t="shared" si="31"/>
      </c>
      <c r="Y48">
        <f t="shared" si="21"/>
      </c>
      <c r="Z48">
        <f t="shared" si="17"/>
      </c>
      <c r="AA48">
        <f t="shared" si="22"/>
      </c>
      <c r="AB48">
        <f t="shared" si="18"/>
      </c>
      <c r="AC48">
        <f t="shared" si="23"/>
      </c>
      <c r="AD48">
        <f t="shared" si="24"/>
      </c>
      <c r="AE48">
        <f t="shared" si="7"/>
      </c>
      <c r="AF48">
        <f t="shared" si="8"/>
      </c>
      <c r="AG48">
        <f t="shared" si="25"/>
      </c>
      <c r="AH48">
        <f t="shared" si="19"/>
      </c>
      <c r="AI48">
        <f t="shared" si="34"/>
      </c>
      <c r="AJ48">
        <f t="shared" si="30"/>
      </c>
      <c r="AK48" s="386">
        <f t="shared" si="26"/>
      </c>
      <c r="AL48" s="386">
        <f t="shared" si="27"/>
      </c>
      <c r="AM48" s="408">
        <f t="shared" si="14"/>
      </c>
      <c r="AN48" s="374">
        <f t="shared" si="15"/>
      </c>
      <c r="AO48" s="384">
        <f t="shared" si="28"/>
      </c>
      <c r="AP48" s="381">
        <f t="shared" si="29"/>
      </c>
    </row>
    <row r="49" spans="1:42" ht="12.75">
      <c r="A49" s="223">
        <v>36</v>
      </c>
      <c r="B49" s="224" t="s">
        <v>8</v>
      </c>
      <c r="C49">
        <f>IF(RPA!S42="Y","Y","")</f>
      </c>
      <c r="D49">
        <f>IF(C49="","",IF(Criteria!C48="No Criteria","N",IF(SUM(Criteria!E48:F48)&gt;0,MIN(Criteria!E48:Criteria!F48),"")))</f>
      </c>
      <c r="F49">
        <f>IF(C49="","",IF(Criteria!D48="","N",Criteria!D48))</f>
      </c>
      <c r="I49">
        <f>IF(C49="","",IF(Criteria!F48="","No Acute",Criteria!F48))</f>
      </c>
      <c r="J49">
        <f>IF(C49="","",IF(Criteria!E48="","No Chronic",Criteria!E48))</f>
      </c>
      <c r="R49">
        <f t="shared" si="20"/>
      </c>
      <c r="S49" s="2">
        <f>IF(C49="","",IF('data input for RPA'!I44="N","N",IF('data input for RPA'!J44="N",'data input for RPA'!L44,'data input for RPA'!K44)))</f>
      </c>
      <c r="U49">
        <f t="shared" si="32"/>
      </c>
      <c r="V49">
        <f t="shared" si="33"/>
      </c>
      <c r="W49">
        <f t="shared" si="31"/>
      </c>
      <c r="Y49">
        <f t="shared" si="21"/>
      </c>
      <c r="Z49">
        <f t="shared" si="17"/>
      </c>
      <c r="AA49">
        <f t="shared" si="22"/>
      </c>
      <c r="AB49">
        <f t="shared" si="18"/>
      </c>
      <c r="AC49">
        <f t="shared" si="23"/>
      </c>
      <c r="AD49">
        <f t="shared" si="24"/>
      </c>
      <c r="AE49">
        <f t="shared" si="7"/>
      </c>
      <c r="AF49">
        <f t="shared" si="8"/>
      </c>
      <c r="AG49">
        <f t="shared" si="25"/>
      </c>
      <c r="AH49">
        <f t="shared" si="19"/>
      </c>
      <c r="AI49">
        <f t="shared" si="34"/>
      </c>
      <c r="AJ49">
        <f t="shared" si="30"/>
      </c>
      <c r="AK49" s="386">
        <f t="shared" si="26"/>
      </c>
      <c r="AL49" s="386">
        <f t="shared" si="27"/>
      </c>
      <c r="AM49" s="408">
        <f t="shared" si="14"/>
      </c>
      <c r="AN49" s="374">
        <f t="shared" si="15"/>
      </c>
      <c r="AO49" s="384">
        <f t="shared" si="28"/>
      </c>
      <c r="AP49" s="381">
        <f t="shared" si="29"/>
      </c>
    </row>
    <row r="50" spans="1:42" ht="12.75">
      <c r="A50" s="223">
        <v>37</v>
      </c>
      <c r="B50" s="224" t="s">
        <v>9</v>
      </c>
      <c r="C50">
        <f>IF(RPA!S43="Y","Y","")</f>
      </c>
      <c r="D50">
        <f>IF(C50="","",IF(Criteria!C49="No Criteria","N",IF(SUM(Criteria!E49:F49)&gt;0,MIN(Criteria!E49:Criteria!F49),"")))</f>
      </c>
      <c r="F50">
        <f>IF(C50="","",IF(Criteria!D49="","N",Criteria!D49))</f>
      </c>
      <c r="I50">
        <f>IF(C50="","",IF(Criteria!F49="","No Acute",Criteria!F49))</f>
      </c>
      <c r="J50">
        <f>IF(C50="","",IF(Criteria!E49="","No Chronic",Criteria!E49))</f>
      </c>
      <c r="R50">
        <f t="shared" si="20"/>
      </c>
      <c r="S50" s="2">
        <f>IF(C50="","",IF('data input for RPA'!I45="N","N",IF('data input for RPA'!J45="N",'data input for RPA'!L45,'data input for RPA'!K45)))</f>
      </c>
      <c r="U50">
        <f t="shared" si="32"/>
      </c>
      <c r="V50">
        <f t="shared" si="33"/>
      </c>
      <c r="W50">
        <f t="shared" si="31"/>
      </c>
      <c r="Y50">
        <f t="shared" si="21"/>
      </c>
      <c r="Z50">
        <f t="shared" si="17"/>
      </c>
      <c r="AA50">
        <f t="shared" si="22"/>
      </c>
      <c r="AB50">
        <f t="shared" si="18"/>
      </c>
      <c r="AC50">
        <f t="shared" si="23"/>
      </c>
      <c r="AD50">
        <f t="shared" si="24"/>
      </c>
      <c r="AE50">
        <f t="shared" si="7"/>
      </c>
      <c r="AF50">
        <f t="shared" si="8"/>
      </c>
      <c r="AG50">
        <f t="shared" si="25"/>
      </c>
      <c r="AH50">
        <f t="shared" si="19"/>
      </c>
      <c r="AI50">
        <f t="shared" si="34"/>
      </c>
      <c r="AJ50">
        <f t="shared" si="30"/>
      </c>
      <c r="AK50" s="386">
        <f t="shared" si="26"/>
      </c>
      <c r="AL50" s="386">
        <f t="shared" si="27"/>
      </c>
      <c r="AM50" s="408">
        <f t="shared" si="14"/>
      </c>
      <c r="AN50" s="374">
        <f t="shared" si="15"/>
      </c>
      <c r="AO50" s="384">
        <f t="shared" si="28"/>
      </c>
      <c r="AP50" s="381">
        <f t="shared" si="29"/>
      </c>
    </row>
    <row r="51" spans="1:42" ht="12.75">
      <c r="A51" s="223">
        <v>38</v>
      </c>
      <c r="B51" s="224" t="s">
        <v>10</v>
      </c>
      <c r="C51">
        <f>IF(RPA!S44="Y","Y","")</f>
      </c>
      <c r="D51">
        <f>IF(C51="","",IF(Criteria!C50="No Criteria","N",IF(SUM(Criteria!E50:F50)&gt;0,MIN(Criteria!E50:Criteria!F50),"")))</f>
      </c>
      <c r="F51">
        <f>IF(C51="","",IF(Criteria!D50="","N",Criteria!D50))</f>
      </c>
      <c r="I51">
        <f>IF(C51="","",IF(Criteria!F50="","No Acute",Criteria!F50))</f>
      </c>
      <c r="J51">
        <f>IF(C51="","",IF(Criteria!E50="","No Chronic",Criteria!E50))</f>
      </c>
      <c r="R51">
        <f t="shared" si="20"/>
      </c>
      <c r="S51" s="2">
        <f>IF(C51="","",IF('data input for RPA'!I46="N","N",IF('data input for RPA'!J46="N",'data input for RPA'!L46,'data input for RPA'!K46)))</f>
      </c>
      <c r="U51">
        <f t="shared" si="32"/>
      </c>
      <c r="V51">
        <f t="shared" si="33"/>
      </c>
      <c r="W51">
        <f t="shared" si="31"/>
      </c>
      <c r="Y51">
        <f t="shared" si="21"/>
      </c>
      <c r="Z51">
        <f t="shared" si="17"/>
      </c>
      <c r="AA51">
        <f t="shared" si="22"/>
      </c>
      <c r="AB51">
        <f t="shared" si="18"/>
      </c>
      <c r="AC51">
        <f t="shared" si="23"/>
      </c>
      <c r="AD51">
        <f t="shared" si="24"/>
      </c>
      <c r="AE51">
        <f t="shared" si="7"/>
      </c>
      <c r="AF51">
        <f t="shared" si="8"/>
      </c>
      <c r="AG51">
        <f t="shared" si="25"/>
      </c>
      <c r="AH51">
        <f t="shared" si="19"/>
      </c>
      <c r="AI51">
        <f t="shared" si="34"/>
      </c>
      <c r="AJ51">
        <f t="shared" si="30"/>
      </c>
      <c r="AK51" s="386">
        <f t="shared" si="26"/>
      </c>
      <c r="AL51" s="386">
        <f t="shared" si="27"/>
      </c>
      <c r="AM51" s="408">
        <f t="shared" si="14"/>
      </c>
      <c r="AN51" s="374">
        <f t="shared" si="15"/>
      </c>
      <c r="AO51" s="384">
        <f t="shared" si="28"/>
      </c>
      <c r="AP51" s="381">
        <f t="shared" si="29"/>
      </c>
    </row>
    <row r="52" spans="1:42" ht="12.75">
      <c r="A52" s="223">
        <v>39</v>
      </c>
      <c r="B52" s="224" t="s">
        <v>11</v>
      </c>
      <c r="C52">
        <f>IF(RPA!S45="Y","Y","")</f>
      </c>
      <c r="D52">
        <f>IF(C52="","",IF(Criteria!C51="No Criteria","N",IF(SUM(Criteria!E51:F51)&gt;0,MIN(Criteria!E51:Criteria!F51),"")))</f>
      </c>
      <c r="F52">
        <f>IF(C52="","",IF(Criteria!D51="","N",Criteria!D51))</f>
      </c>
      <c r="I52">
        <f>IF(C52="","",IF(Criteria!F51="","No Acute",Criteria!F51))</f>
      </c>
      <c r="J52">
        <f>IF(C52="","",IF(Criteria!E51="","No Chronic",Criteria!E51))</f>
      </c>
      <c r="R52">
        <f t="shared" si="20"/>
      </c>
      <c r="S52" s="2">
        <f>IF(C52="","",IF('data input for RPA'!I47="N","N",IF('data input for RPA'!J47="N",'data input for RPA'!L47,'data input for RPA'!K47)))</f>
      </c>
      <c r="U52">
        <f t="shared" si="32"/>
      </c>
      <c r="V52">
        <f t="shared" si="33"/>
      </c>
      <c r="W52">
        <f t="shared" si="31"/>
      </c>
      <c r="Y52">
        <f t="shared" si="21"/>
      </c>
      <c r="Z52">
        <f t="shared" si="17"/>
      </c>
      <c r="AA52">
        <f t="shared" si="22"/>
      </c>
      <c r="AB52">
        <f t="shared" si="18"/>
      </c>
      <c r="AC52">
        <f t="shared" si="23"/>
      </c>
      <c r="AD52">
        <f t="shared" si="24"/>
      </c>
      <c r="AE52">
        <f t="shared" si="7"/>
      </c>
      <c r="AF52">
        <f t="shared" si="8"/>
      </c>
      <c r="AG52">
        <f t="shared" si="25"/>
      </c>
      <c r="AH52">
        <f t="shared" si="19"/>
      </c>
      <c r="AI52">
        <f t="shared" si="34"/>
      </c>
      <c r="AJ52">
        <f t="shared" si="30"/>
      </c>
      <c r="AK52" s="386">
        <f t="shared" si="26"/>
      </c>
      <c r="AL52" s="386">
        <f t="shared" si="27"/>
      </c>
      <c r="AM52" s="408">
        <f t="shared" si="14"/>
      </c>
      <c r="AN52" s="374">
        <f t="shared" si="15"/>
      </c>
      <c r="AO52" s="384">
        <f t="shared" si="28"/>
      </c>
      <c r="AP52" s="381">
        <f t="shared" si="29"/>
      </c>
    </row>
    <row r="53" spans="1:42" ht="12.75">
      <c r="A53" s="223">
        <v>40</v>
      </c>
      <c r="B53" s="224" t="s">
        <v>12</v>
      </c>
      <c r="C53">
        <f>IF(RPA!S46="Y","Y","")</f>
      </c>
      <c r="D53">
        <f>IF(C53="","",IF(Criteria!C52="No Criteria","N",IF(SUM(Criteria!E52:F52)&gt;0,MIN(Criteria!E52:Criteria!F52),"")))</f>
      </c>
      <c r="F53">
        <f>IF(C53="","",IF(Criteria!D52="","N",Criteria!D52))</f>
      </c>
      <c r="I53">
        <f>IF(C53="","",IF(Criteria!F52="","No Acute",Criteria!F52))</f>
      </c>
      <c r="J53">
        <f>IF(C53="","",IF(Criteria!E52="","No Chronic",Criteria!E52))</f>
      </c>
      <c r="R53">
        <f t="shared" si="20"/>
      </c>
      <c r="S53" s="2">
        <f>IF(C53="","",IF('data input for RPA'!I48="N","N",IF('data input for RPA'!J48="N",'data input for RPA'!L48,'data input for RPA'!K48)))</f>
      </c>
      <c r="U53">
        <f t="shared" si="32"/>
      </c>
      <c r="V53">
        <f t="shared" si="33"/>
      </c>
      <c r="W53">
        <f t="shared" si="31"/>
      </c>
      <c r="Y53">
        <f t="shared" si="21"/>
      </c>
      <c r="Z53">
        <f t="shared" si="17"/>
      </c>
      <c r="AA53">
        <f t="shared" si="22"/>
      </c>
      <c r="AB53">
        <f t="shared" si="18"/>
      </c>
      <c r="AC53">
        <f t="shared" si="23"/>
      </c>
      <c r="AD53">
        <f t="shared" si="24"/>
      </c>
      <c r="AE53">
        <f t="shared" si="7"/>
      </c>
      <c r="AF53">
        <f t="shared" si="8"/>
      </c>
      <c r="AG53">
        <f t="shared" si="25"/>
      </c>
      <c r="AH53">
        <f t="shared" si="19"/>
      </c>
      <c r="AI53">
        <f t="shared" si="34"/>
      </c>
      <c r="AJ53">
        <f t="shared" si="30"/>
      </c>
      <c r="AK53" s="386">
        <f t="shared" si="26"/>
      </c>
      <c r="AL53" s="386">
        <f t="shared" si="27"/>
      </c>
      <c r="AM53" s="408">
        <f t="shared" si="14"/>
      </c>
      <c r="AN53" s="374">
        <f t="shared" si="15"/>
      </c>
      <c r="AO53" s="384">
        <f t="shared" si="28"/>
      </c>
      <c r="AP53" s="381">
        <f t="shared" si="29"/>
      </c>
    </row>
    <row r="54" spans="1:42" ht="12.75">
      <c r="A54" s="223">
        <v>41</v>
      </c>
      <c r="B54" s="224" t="s">
        <v>13</v>
      </c>
      <c r="C54">
        <f>IF(RPA!S47="Y","Y","")</f>
      </c>
      <c r="D54">
        <f>IF(C54="","",IF(Criteria!C53="No Criteria","N",IF(SUM(Criteria!E53:F53)&gt;0,MIN(Criteria!E53:Criteria!F53),"")))</f>
      </c>
      <c r="F54">
        <f>IF(C54="","",IF(Criteria!D53="","N",Criteria!D53))</f>
      </c>
      <c r="I54">
        <f>IF(C54="","",IF(Criteria!F53="","No Acute",Criteria!F53))</f>
      </c>
      <c r="J54">
        <f>IF(C54="","",IF(Criteria!E53="","No Chronic",Criteria!E53))</f>
      </c>
      <c r="R54">
        <f t="shared" si="20"/>
      </c>
      <c r="S54" s="2">
        <f>IF(C54="","",IF('data input for RPA'!I49="N","N",IF('data input for RPA'!J49="N",'data input for RPA'!L49,'data input for RPA'!K49)))</f>
      </c>
      <c r="U54">
        <f t="shared" si="32"/>
      </c>
      <c r="V54">
        <f t="shared" si="33"/>
      </c>
      <c r="W54">
        <f t="shared" si="31"/>
      </c>
      <c r="Y54">
        <f t="shared" si="21"/>
      </c>
      <c r="Z54">
        <f t="shared" si="17"/>
      </c>
      <c r="AA54">
        <f t="shared" si="22"/>
      </c>
      <c r="AB54">
        <f t="shared" si="18"/>
      </c>
      <c r="AC54">
        <f t="shared" si="23"/>
      </c>
      <c r="AD54">
        <f t="shared" si="24"/>
      </c>
      <c r="AE54">
        <f t="shared" si="7"/>
      </c>
      <c r="AF54">
        <f t="shared" si="8"/>
      </c>
      <c r="AG54">
        <f t="shared" si="25"/>
      </c>
      <c r="AH54">
        <f t="shared" si="19"/>
      </c>
      <c r="AI54">
        <f t="shared" si="34"/>
      </c>
      <c r="AJ54">
        <f t="shared" si="30"/>
      </c>
      <c r="AK54" s="386">
        <f t="shared" si="26"/>
      </c>
      <c r="AL54" s="386">
        <f t="shared" si="27"/>
      </c>
      <c r="AM54" s="408">
        <f t="shared" si="14"/>
      </c>
      <c r="AN54" s="374">
        <f t="shared" si="15"/>
      </c>
      <c r="AO54" s="384">
        <f t="shared" si="28"/>
      </c>
      <c r="AP54" s="381">
        <f t="shared" si="29"/>
      </c>
    </row>
    <row r="55" spans="1:42" ht="12.75">
      <c r="A55" s="223">
        <v>42</v>
      </c>
      <c r="B55" s="224" t="s">
        <v>14</v>
      </c>
      <c r="C55">
        <f>IF(RPA!S48="Y","Y","")</f>
      </c>
      <c r="D55">
        <f>IF(C55="","",IF(Criteria!C54="No Criteria","N",IF(SUM(Criteria!E54:F54)&gt;0,MIN(Criteria!E54:Criteria!F54),"")))</f>
      </c>
      <c r="F55">
        <f>IF(C55="","",IF(Criteria!D54="","N",Criteria!D54))</f>
      </c>
      <c r="I55">
        <f>IF(C55="","",IF(Criteria!F54="","No Acute",Criteria!F54))</f>
      </c>
      <c r="J55">
        <f>IF(C55="","",IF(Criteria!E54="","No Chronic",Criteria!E54))</f>
      </c>
      <c r="R55">
        <f t="shared" si="20"/>
      </c>
      <c r="S55" s="2">
        <f>IF(C55="","",IF('data input for RPA'!I50="N","N",IF('data input for RPA'!J50="N",'data input for RPA'!L50,'data input for RPA'!K50)))</f>
      </c>
      <c r="U55">
        <f t="shared" si="32"/>
      </c>
      <c r="V55">
        <f t="shared" si="33"/>
      </c>
      <c r="W55">
        <f t="shared" si="31"/>
      </c>
      <c r="Y55">
        <f t="shared" si="21"/>
      </c>
      <c r="Z55">
        <f t="shared" si="17"/>
      </c>
      <c r="AA55">
        <f t="shared" si="22"/>
      </c>
      <c r="AB55">
        <f t="shared" si="18"/>
      </c>
      <c r="AC55">
        <f t="shared" si="23"/>
      </c>
      <c r="AD55">
        <f t="shared" si="24"/>
      </c>
      <c r="AE55">
        <f t="shared" si="7"/>
      </c>
      <c r="AF55">
        <f t="shared" si="8"/>
      </c>
      <c r="AG55">
        <f t="shared" si="25"/>
      </c>
      <c r="AH55">
        <f t="shared" si="19"/>
      </c>
      <c r="AI55">
        <f t="shared" si="34"/>
      </c>
      <c r="AJ55">
        <f t="shared" si="30"/>
      </c>
      <c r="AK55" s="386">
        <f t="shared" si="26"/>
      </c>
      <c r="AL55" s="386">
        <f t="shared" si="27"/>
      </c>
      <c r="AM55" s="408">
        <f t="shared" si="14"/>
      </c>
      <c r="AN55" s="374">
        <f t="shared" si="15"/>
      </c>
      <c r="AO55" s="384">
        <f t="shared" si="28"/>
      </c>
      <c r="AP55" s="381">
        <f t="shared" si="29"/>
      </c>
    </row>
    <row r="56" spans="1:42" ht="12.75">
      <c r="A56" s="223">
        <v>43</v>
      </c>
      <c r="B56" s="224" t="s">
        <v>15</v>
      </c>
      <c r="C56">
        <f>IF(RPA!S49="Y","Y","")</f>
      </c>
      <c r="D56">
        <f>IF(C56="","",IF(Criteria!C55="No Criteria","N",IF(SUM(Criteria!E55:F55)&gt;0,MIN(Criteria!E55:Criteria!F55),"")))</f>
      </c>
      <c r="F56">
        <f>IF(C56="","",IF(Criteria!D55="","N",Criteria!D55))</f>
      </c>
      <c r="I56">
        <f>IF(C56="","",IF(Criteria!F55="","No Acute",Criteria!F55))</f>
      </c>
      <c r="J56">
        <f>IF(C56="","",IF(Criteria!E55="","No Chronic",Criteria!E55))</f>
      </c>
      <c r="R56">
        <f t="shared" si="20"/>
      </c>
      <c r="S56" s="2">
        <f>IF(C56="","",IF('data input for RPA'!I51="N","N",IF('data input for RPA'!J51="N",'data input for RPA'!L51,'data input for RPA'!K51)))</f>
      </c>
      <c r="U56">
        <f t="shared" si="32"/>
      </c>
      <c r="V56">
        <f t="shared" si="33"/>
      </c>
      <c r="W56">
        <f t="shared" si="31"/>
      </c>
      <c r="Y56">
        <f t="shared" si="21"/>
      </c>
      <c r="Z56">
        <f t="shared" si="17"/>
      </c>
      <c r="AA56">
        <f t="shared" si="22"/>
      </c>
      <c r="AB56">
        <f t="shared" si="18"/>
      </c>
      <c r="AC56">
        <f t="shared" si="23"/>
      </c>
      <c r="AD56">
        <f t="shared" si="24"/>
      </c>
      <c r="AE56">
        <f t="shared" si="7"/>
      </c>
      <c r="AF56">
        <f t="shared" si="8"/>
      </c>
      <c r="AG56">
        <f t="shared" si="25"/>
      </c>
      <c r="AH56">
        <f t="shared" si="19"/>
      </c>
      <c r="AI56">
        <f t="shared" si="34"/>
      </c>
      <c r="AJ56">
        <f t="shared" si="30"/>
      </c>
      <c r="AK56" s="386">
        <f t="shared" si="26"/>
      </c>
      <c r="AL56" s="386">
        <f t="shared" si="27"/>
      </c>
      <c r="AM56" s="408">
        <f t="shared" si="14"/>
      </c>
      <c r="AN56" s="374">
        <f t="shared" si="15"/>
      </c>
      <c r="AO56" s="384">
        <f t="shared" si="28"/>
      </c>
      <c r="AP56" s="381">
        <f t="shared" si="29"/>
      </c>
    </row>
    <row r="57" spans="1:42" ht="12.75">
      <c r="A57" s="223">
        <v>44</v>
      </c>
      <c r="B57" s="224" t="s">
        <v>16</v>
      </c>
      <c r="C57">
        <f>IF(RPA!S50="Y","Y","")</f>
      </c>
      <c r="D57">
        <f>IF(C57="","",IF(Criteria!C56="No Criteria","N",IF(SUM(Criteria!E56:F56)&gt;0,MIN(Criteria!E56:Criteria!F56),"")))</f>
      </c>
      <c r="F57">
        <f>IF(C57="","",IF(Criteria!D56="","N",Criteria!D56))</f>
      </c>
      <c r="I57">
        <f>IF(C57="","",IF(Criteria!F56="","No Acute",Criteria!F56))</f>
      </c>
      <c r="J57">
        <f>IF(C57="","",IF(Criteria!E56="","No Chronic",Criteria!E56))</f>
      </c>
      <c r="R57">
        <f t="shared" si="20"/>
      </c>
      <c r="S57" s="2">
        <f>IF(C57="","",IF('data input for RPA'!I52="N","N",IF('data input for RPA'!J52="N",'data input for RPA'!L52,'data input for RPA'!K52)))</f>
      </c>
      <c r="U57">
        <f t="shared" si="32"/>
      </c>
      <c r="V57">
        <f t="shared" si="33"/>
      </c>
      <c r="W57">
        <f t="shared" si="31"/>
      </c>
      <c r="Y57">
        <f t="shared" si="21"/>
      </c>
      <c r="Z57">
        <f t="shared" si="17"/>
      </c>
      <c r="AA57">
        <f t="shared" si="22"/>
      </c>
      <c r="AB57">
        <f t="shared" si="18"/>
      </c>
      <c r="AC57">
        <f t="shared" si="23"/>
      </c>
      <c r="AD57">
        <f t="shared" si="24"/>
      </c>
      <c r="AE57">
        <f t="shared" si="7"/>
      </c>
      <c r="AF57">
        <f t="shared" si="8"/>
      </c>
      <c r="AG57">
        <f t="shared" si="25"/>
      </c>
      <c r="AH57">
        <f t="shared" si="19"/>
      </c>
      <c r="AI57">
        <f t="shared" si="34"/>
      </c>
      <c r="AJ57">
        <f t="shared" si="30"/>
      </c>
      <c r="AK57" s="386">
        <f t="shared" si="26"/>
      </c>
      <c r="AL57" s="386">
        <f t="shared" si="27"/>
      </c>
      <c r="AM57" s="408">
        <f t="shared" si="14"/>
      </c>
      <c r="AN57" s="374">
        <f t="shared" si="15"/>
      </c>
      <c r="AO57" s="384">
        <f t="shared" si="28"/>
      </c>
      <c r="AP57" s="381">
        <f t="shared" si="29"/>
      </c>
    </row>
    <row r="58" spans="1:42" ht="12.75">
      <c r="A58" s="223">
        <v>45</v>
      </c>
      <c r="B58" s="224" t="s">
        <v>221</v>
      </c>
      <c r="C58">
        <f>IF(RPA!S51="Y","Y","")</f>
      </c>
      <c r="D58">
        <f>IF(C58="","",IF(Criteria!C57="No Criteria","N",IF(SUM(Criteria!E57:F57)&gt;0,MIN(Criteria!E57:Criteria!F57),"")))</f>
      </c>
      <c r="F58">
        <f>IF(C58="","",IF(Criteria!D57="","N",Criteria!D57))</f>
      </c>
      <c r="I58">
        <f>IF(C58="","",IF(Criteria!F57="","No Acute",Criteria!F57))</f>
      </c>
      <c r="J58">
        <f>IF(C58="","",IF(Criteria!E57="","No Chronic",Criteria!E57))</f>
      </c>
      <c r="R58">
        <f t="shared" si="20"/>
      </c>
      <c r="S58" s="2">
        <f>IF(C58="","",IF('data input for RPA'!I53="N","N",IF('data input for RPA'!J53="N",'data input for RPA'!L53,'data input for RPA'!K53)))</f>
      </c>
      <c r="U58">
        <f t="shared" si="32"/>
      </c>
      <c r="V58">
        <f t="shared" si="33"/>
      </c>
      <c r="W58">
        <f t="shared" si="31"/>
      </c>
      <c r="Y58">
        <f t="shared" si="21"/>
      </c>
      <c r="Z58">
        <f t="shared" si="17"/>
      </c>
      <c r="AA58">
        <f t="shared" si="22"/>
      </c>
      <c r="AB58">
        <f t="shared" si="18"/>
      </c>
      <c r="AC58">
        <f t="shared" si="23"/>
      </c>
      <c r="AD58">
        <f t="shared" si="24"/>
      </c>
      <c r="AE58">
        <f t="shared" si="7"/>
      </c>
      <c r="AF58">
        <f t="shared" si="8"/>
      </c>
      <c r="AG58">
        <f t="shared" si="25"/>
      </c>
      <c r="AH58">
        <f t="shared" si="19"/>
      </c>
      <c r="AI58">
        <f t="shared" si="34"/>
      </c>
      <c r="AJ58">
        <f t="shared" si="30"/>
      </c>
      <c r="AK58" s="386">
        <f t="shared" si="26"/>
      </c>
      <c r="AL58" s="386">
        <f t="shared" si="27"/>
      </c>
      <c r="AM58" s="408">
        <f t="shared" si="14"/>
      </c>
      <c r="AN58" s="374">
        <f t="shared" si="15"/>
      </c>
      <c r="AO58" s="384">
        <f t="shared" si="28"/>
      </c>
      <c r="AP58" s="381">
        <f t="shared" si="29"/>
      </c>
    </row>
    <row r="59" spans="1:42" ht="12.75">
      <c r="A59" s="223">
        <v>46</v>
      </c>
      <c r="B59" s="224" t="s">
        <v>18</v>
      </c>
      <c r="C59">
        <f>IF(RPA!S52="Y","Y","")</f>
      </c>
      <c r="D59">
        <f>IF(C59="","",IF(Criteria!C58="No Criteria","N",IF(SUM(Criteria!E58:F58)&gt;0,MIN(Criteria!E58:Criteria!F58),"")))</f>
      </c>
      <c r="F59">
        <f>IF(C59="","",IF(Criteria!D58="","N",Criteria!D58))</f>
      </c>
      <c r="I59">
        <f>IF(C59="","",IF(Criteria!F58="","No Acute",Criteria!F58))</f>
      </c>
      <c r="J59">
        <f>IF(C59="","",IF(Criteria!E58="","No Chronic",Criteria!E58))</f>
      </c>
      <c r="R59">
        <f t="shared" si="20"/>
      </c>
      <c r="S59" s="2">
        <f>IF(C59="","",IF('data input for RPA'!I54="N","N",IF('data input for RPA'!J54="N",'data input for RPA'!L54,'data input for RPA'!K54)))</f>
      </c>
      <c r="U59">
        <f t="shared" si="32"/>
      </c>
      <c r="V59">
        <f t="shared" si="33"/>
      </c>
      <c r="W59">
        <f t="shared" si="31"/>
      </c>
      <c r="Y59">
        <f t="shared" si="21"/>
      </c>
      <c r="Z59">
        <f t="shared" si="17"/>
      </c>
      <c r="AA59">
        <f t="shared" si="22"/>
      </c>
      <c r="AB59">
        <f t="shared" si="18"/>
      </c>
      <c r="AC59">
        <f t="shared" si="23"/>
      </c>
      <c r="AD59">
        <f t="shared" si="24"/>
      </c>
      <c r="AE59">
        <f t="shared" si="7"/>
      </c>
      <c r="AF59">
        <f t="shared" si="8"/>
      </c>
      <c r="AG59">
        <f t="shared" si="25"/>
      </c>
      <c r="AH59">
        <f t="shared" si="19"/>
      </c>
      <c r="AI59">
        <f t="shared" si="34"/>
      </c>
      <c r="AJ59">
        <f t="shared" si="30"/>
      </c>
      <c r="AK59" s="386">
        <f t="shared" si="26"/>
      </c>
      <c r="AL59" s="386">
        <f t="shared" si="27"/>
      </c>
      <c r="AM59" s="408">
        <f t="shared" si="14"/>
      </c>
      <c r="AN59" s="374">
        <f t="shared" si="15"/>
      </c>
      <c r="AO59" s="384">
        <f t="shared" si="28"/>
      </c>
      <c r="AP59" s="381">
        <f t="shared" si="29"/>
      </c>
    </row>
    <row r="60" spans="1:42" ht="12.75">
      <c r="A60" s="223">
        <v>47</v>
      </c>
      <c r="B60" s="224" t="s">
        <v>19</v>
      </c>
      <c r="C60">
        <f>IF(RPA!S53="Y","Y","")</f>
      </c>
      <c r="D60">
        <f>IF(C60="","",IF(Criteria!C59="No Criteria","N",IF(SUM(Criteria!E59:F59)&gt;0,MIN(Criteria!E59:Criteria!F59),"")))</f>
      </c>
      <c r="F60">
        <f>IF(C60="","",IF(Criteria!D59="","N",Criteria!D59))</f>
      </c>
      <c r="I60">
        <f>IF(C60="","",IF(Criteria!F59="","No Acute",Criteria!F59))</f>
      </c>
      <c r="J60">
        <f>IF(C60="","",IF(Criteria!E59="","No Chronic",Criteria!E59))</f>
      </c>
      <c r="R60">
        <f t="shared" si="20"/>
      </c>
      <c r="S60" s="2">
        <f>IF(C60="","",IF('data input for RPA'!I55="N","N",IF('data input for RPA'!J55="N",'data input for RPA'!L55,'data input for RPA'!K55)))</f>
      </c>
      <c r="U60">
        <f t="shared" si="32"/>
      </c>
      <c r="V60">
        <f t="shared" si="33"/>
      </c>
      <c r="W60">
        <f t="shared" si="31"/>
      </c>
      <c r="Y60">
        <f t="shared" si="21"/>
      </c>
      <c r="Z60">
        <f t="shared" si="17"/>
      </c>
      <c r="AA60">
        <f t="shared" si="22"/>
      </c>
      <c r="AB60">
        <f t="shared" si="18"/>
      </c>
      <c r="AC60">
        <f t="shared" si="23"/>
      </c>
      <c r="AD60">
        <f t="shared" si="24"/>
      </c>
      <c r="AE60">
        <f t="shared" si="7"/>
      </c>
      <c r="AF60">
        <f t="shared" si="8"/>
      </c>
      <c r="AG60">
        <f t="shared" si="25"/>
      </c>
      <c r="AH60">
        <f t="shared" si="19"/>
      </c>
      <c r="AI60">
        <f t="shared" si="34"/>
      </c>
      <c r="AJ60">
        <f t="shared" si="30"/>
      </c>
      <c r="AK60" s="386">
        <f t="shared" si="26"/>
      </c>
      <c r="AL60" s="386">
        <f t="shared" si="27"/>
      </c>
      <c r="AM60" s="408">
        <f t="shared" si="14"/>
      </c>
      <c r="AN60" s="374">
        <f t="shared" si="15"/>
      </c>
      <c r="AO60" s="384">
        <f t="shared" si="28"/>
      </c>
      <c r="AP60" s="381">
        <f t="shared" si="29"/>
      </c>
    </row>
    <row r="61" spans="1:42" ht="12.75">
      <c r="A61" s="223">
        <v>48</v>
      </c>
      <c r="B61" s="224" t="s">
        <v>222</v>
      </c>
      <c r="C61">
        <f>IF(RPA!S54="Y","Y","")</f>
      </c>
      <c r="D61">
        <f>IF(C61="","",IF(Criteria!C60="No Criteria","N",IF(SUM(Criteria!E60:F60)&gt;0,MIN(Criteria!E60:Criteria!F60),"")))</f>
      </c>
      <c r="F61">
        <f>IF(C61="","",IF(Criteria!D60="","N",Criteria!D60))</f>
      </c>
      <c r="I61">
        <f>IF(C61="","",IF(Criteria!F60="","No Acute",Criteria!F60))</f>
      </c>
      <c r="J61">
        <f>IF(C61="","",IF(Criteria!E60="","No Chronic",Criteria!E60))</f>
      </c>
      <c r="R61">
        <f t="shared" si="20"/>
      </c>
      <c r="S61" s="2">
        <f>IF(C61="","",IF('data input for RPA'!I56="N","N",IF('data input for RPA'!J56="N",'data input for RPA'!L56,'data input for RPA'!K56)))</f>
      </c>
      <c r="U61">
        <f t="shared" si="32"/>
      </c>
      <c r="V61">
        <f t="shared" si="33"/>
      </c>
      <c r="W61">
        <f t="shared" si="31"/>
      </c>
      <c r="Y61">
        <f t="shared" si="21"/>
      </c>
      <c r="Z61">
        <f t="shared" si="17"/>
      </c>
      <c r="AA61">
        <f t="shared" si="22"/>
      </c>
      <c r="AB61">
        <f t="shared" si="18"/>
      </c>
      <c r="AC61">
        <f t="shared" si="23"/>
      </c>
      <c r="AD61">
        <f t="shared" si="24"/>
      </c>
      <c r="AE61">
        <f t="shared" si="7"/>
      </c>
      <c r="AF61">
        <f t="shared" si="8"/>
      </c>
      <c r="AG61">
        <f t="shared" si="25"/>
      </c>
      <c r="AH61">
        <f t="shared" si="19"/>
      </c>
      <c r="AI61">
        <f t="shared" si="34"/>
      </c>
      <c r="AJ61">
        <f t="shared" si="30"/>
      </c>
      <c r="AK61" s="386">
        <f t="shared" si="26"/>
      </c>
      <c r="AL61" s="386">
        <f t="shared" si="27"/>
      </c>
      <c r="AM61" s="408">
        <f t="shared" si="14"/>
      </c>
      <c r="AN61" s="374">
        <f t="shared" si="15"/>
      </c>
      <c r="AO61" s="384">
        <f t="shared" si="28"/>
      </c>
      <c r="AP61" s="381">
        <f t="shared" si="29"/>
      </c>
    </row>
    <row r="62" spans="1:42" ht="12.75">
      <c r="A62" s="223">
        <v>49</v>
      </c>
      <c r="B62" s="224" t="s">
        <v>112</v>
      </c>
      <c r="C62">
        <f>IF(RPA!S55="Y","Y","")</f>
      </c>
      <c r="D62">
        <f>IF(C62="","",IF(Criteria!C61="No Criteria","N",IF(SUM(Criteria!E61:F61)&gt;0,MIN(Criteria!E61:Criteria!F61),"")))</f>
      </c>
      <c r="F62">
        <f>IF(C62="","",IF(Criteria!D61="","N",Criteria!D61))</f>
      </c>
      <c r="I62">
        <f>IF(C62="","",IF(Criteria!F61="","No Acute",Criteria!F61))</f>
      </c>
      <c r="J62">
        <f>IF(C62="","",IF(Criteria!E61="","No Chronic",Criteria!E61))</f>
      </c>
      <c r="R62">
        <f t="shared" si="20"/>
      </c>
      <c r="S62" s="2">
        <f>IF(C62="","",IF('data input for RPA'!I57="N","N",IF('data input for RPA'!J57="N",'data input for RPA'!L57,'data input for RPA'!K57)))</f>
      </c>
      <c r="U62">
        <f t="shared" si="32"/>
      </c>
      <c r="V62">
        <f t="shared" si="33"/>
      </c>
      <c r="W62">
        <f t="shared" si="31"/>
      </c>
      <c r="Y62">
        <f t="shared" si="21"/>
      </c>
      <c r="Z62">
        <f t="shared" si="17"/>
      </c>
      <c r="AA62">
        <f t="shared" si="22"/>
      </c>
      <c r="AB62">
        <f t="shared" si="18"/>
      </c>
      <c r="AC62">
        <f t="shared" si="23"/>
      </c>
      <c r="AD62">
        <f t="shared" si="24"/>
      </c>
      <c r="AE62">
        <f t="shared" si="7"/>
      </c>
      <c r="AF62">
        <f t="shared" si="8"/>
      </c>
      <c r="AG62">
        <f t="shared" si="25"/>
      </c>
      <c r="AH62">
        <f t="shared" si="19"/>
      </c>
      <c r="AI62">
        <f t="shared" si="34"/>
      </c>
      <c r="AJ62">
        <f t="shared" si="30"/>
      </c>
      <c r="AK62" s="386">
        <f t="shared" si="26"/>
      </c>
      <c r="AL62" s="386">
        <f t="shared" si="27"/>
      </c>
      <c r="AM62" s="408">
        <f t="shared" si="14"/>
      </c>
      <c r="AN62" s="374">
        <f t="shared" si="15"/>
      </c>
      <c r="AO62" s="384">
        <f t="shared" si="28"/>
      </c>
      <c r="AP62" s="381">
        <f t="shared" si="29"/>
      </c>
    </row>
    <row r="63" spans="1:42" ht="12.75">
      <c r="A63" s="223">
        <v>50</v>
      </c>
      <c r="B63" s="224" t="s">
        <v>113</v>
      </c>
      <c r="C63">
        <f>IF(RPA!S56="Y","Y","")</f>
      </c>
      <c r="D63">
        <f>IF(C63="","",IF(Criteria!C62="No Criteria","N",IF(SUM(Criteria!E62:F62)&gt;0,MIN(Criteria!E62:Criteria!F62),"")))</f>
      </c>
      <c r="F63">
        <f>IF(C63="","",IF(Criteria!D62="","N",Criteria!D62))</f>
      </c>
      <c r="I63">
        <f>IF(C63="","",IF(Criteria!F62="","No Acute",Criteria!F62))</f>
      </c>
      <c r="J63">
        <f>IF(C63="","",IF(Criteria!E62="","No Chronic",Criteria!E62))</f>
      </c>
      <c r="R63">
        <f t="shared" si="20"/>
      </c>
      <c r="S63" s="2">
        <f>IF(C63="","",IF('data input for RPA'!I58="N","N",IF('data input for RPA'!J58="N",'data input for RPA'!L58,'data input for RPA'!K58)))</f>
      </c>
      <c r="U63">
        <f t="shared" si="32"/>
      </c>
      <c r="V63">
        <f t="shared" si="33"/>
      </c>
      <c r="W63">
        <f t="shared" si="31"/>
      </c>
      <c r="Y63">
        <f t="shared" si="21"/>
      </c>
      <c r="Z63">
        <f t="shared" si="17"/>
      </c>
      <c r="AA63">
        <f t="shared" si="22"/>
      </c>
      <c r="AB63">
        <f t="shared" si="18"/>
      </c>
      <c r="AC63">
        <f t="shared" si="23"/>
      </c>
      <c r="AD63">
        <f t="shared" si="24"/>
      </c>
      <c r="AE63">
        <f t="shared" si="7"/>
      </c>
      <c r="AF63">
        <f t="shared" si="8"/>
      </c>
      <c r="AG63">
        <f t="shared" si="25"/>
      </c>
      <c r="AH63">
        <f t="shared" si="19"/>
      </c>
      <c r="AI63">
        <f t="shared" si="34"/>
      </c>
      <c r="AJ63">
        <f t="shared" si="30"/>
      </c>
      <c r="AK63" s="386">
        <f t="shared" si="26"/>
      </c>
      <c r="AL63" s="386">
        <f t="shared" si="27"/>
      </c>
      <c r="AM63" s="408">
        <f t="shared" si="14"/>
      </c>
      <c r="AN63" s="374">
        <f t="shared" si="15"/>
      </c>
      <c r="AO63" s="384">
        <f t="shared" si="28"/>
      </c>
      <c r="AP63" s="381">
        <f t="shared" si="29"/>
      </c>
    </row>
    <row r="64" spans="1:42" ht="12.75">
      <c r="A64" s="223">
        <v>51</v>
      </c>
      <c r="B64" s="224" t="s">
        <v>114</v>
      </c>
      <c r="C64">
        <f>IF(RPA!S57="Y","Y","")</f>
      </c>
      <c r="D64">
        <f>IF(C64="","",IF(Criteria!C63="No Criteria","N",IF(SUM(Criteria!E63:F63)&gt;0,MIN(Criteria!E63:Criteria!F63),"")))</f>
      </c>
      <c r="F64">
        <f>IF(C64="","",IF(Criteria!D63="","N",Criteria!D63))</f>
      </c>
      <c r="I64">
        <f>IF(C64="","",IF(Criteria!F63="","No Acute",Criteria!F63))</f>
      </c>
      <c r="J64">
        <f>IF(C64="","",IF(Criteria!E63="","No Chronic",Criteria!E63))</f>
      </c>
      <c r="R64">
        <f t="shared" si="20"/>
      </c>
      <c r="S64" s="2">
        <f>IF(C64="","",IF('data input for RPA'!I59="N","N",IF('data input for RPA'!J59="N",'data input for RPA'!L59,'data input for RPA'!K59)))</f>
      </c>
      <c r="U64">
        <f t="shared" si="32"/>
      </c>
      <c r="V64">
        <f t="shared" si="33"/>
      </c>
      <c r="W64">
        <f t="shared" si="31"/>
      </c>
      <c r="Y64">
        <f t="shared" si="21"/>
      </c>
      <c r="Z64">
        <f t="shared" si="17"/>
      </c>
      <c r="AA64">
        <f t="shared" si="22"/>
      </c>
      <c r="AB64">
        <f t="shared" si="18"/>
      </c>
      <c r="AC64">
        <f t="shared" si="23"/>
      </c>
      <c r="AD64">
        <f t="shared" si="24"/>
      </c>
      <c r="AE64">
        <f t="shared" si="7"/>
      </c>
      <c r="AF64">
        <f t="shared" si="8"/>
      </c>
      <c r="AG64">
        <f t="shared" si="25"/>
      </c>
      <c r="AH64">
        <f t="shared" si="19"/>
      </c>
      <c r="AI64">
        <f t="shared" si="34"/>
      </c>
      <c r="AJ64">
        <f t="shared" si="30"/>
      </c>
      <c r="AK64" s="386">
        <f t="shared" si="26"/>
      </c>
      <c r="AL64" s="386">
        <f t="shared" si="27"/>
      </c>
      <c r="AM64" s="408">
        <f t="shared" si="14"/>
      </c>
      <c r="AN64" s="374">
        <f t="shared" si="15"/>
      </c>
      <c r="AO64" s="384">
        <f t="shared" si="28"/>
      </c>
      <c r="AP64" s="381">
        <f t="shared" si="29"/>
      </c>
    </row>
    <row r="65" spans="1:42" ht="12.75">
      <c r="A65" s="223">
        <v>52</v>
      </c>
      <c r="B65" s="224" t="s">
        <v>223</v>
      </c>
      <c r="C65">
        <f>IF(RPA!S58="Y","Y","")</f>
      </c>
      <c r="D65">
        <f>IF(C65="","",IF(Criteria!C64="No Criteria","N",IF(SUM(Criteria!E64:F64)&gt;0,MIN(Criteria!E64:Criteria!F64),"")))</f>
      </c>
      <c r="F65">
        <f>IF(C65="","",IF(Criteria!D64="","N",Criteria!D64))</f>
      </c>
      <c r="I65">
        <f>IF(C65="","",IF(Criteria!F64="","No Acute",Criteria!F64))</f>
      </c>
      <c r="J65">
        <f>IF(C65="","",IF(Criteria!E64="","No Chronic",Criteria!E64))</f>
      </c>
      <c r="R65">
        <f t="shared" si="20"/>
      </c>
      <c r="S65" s="2">
        <f>IF(C65="","",IF('data input for RPA'!I60="N","N",IF('data input for RPA'!J60="N",'data input for RPA'!L60,'data input for RPA'!K60)))</f>
      </c>
      <c r="U65">
        <f t="shared" si="32"/>
      </c>
      <c r="V65">
        <f t="shared" si="33"/>
      </c>
      <c r="W65">
        <f t="shared" si="31"/>
      </c>
      <c r="Y65">
        <f t="shared" si="21"/>
      </c>
      <c r="Z65">
        <f t="shared" si="17"/>
      </c>
      <c r="AA65">
        <f t="shared" si="22"/>
      </c>
      <c r="AB65">
        <f t="shared" si="18"/>
      </c>
      <c r="AC65">
        <f t="shared" si="23"/>
      </c>
      <c r="AD65">
        <f t="shared" si="24"/>
      </c>
      <c r="AE65">
        <f t="shared" si="7"/>
      </c>
      <c r="AF65">
        <f t="shared" si="8"/>
      </c>
      <c r="AG65">
        <f t="shared" si="25"/>
      </c>
      <c r="AH65">
        <f t="shared" si="19"/>
      </c>
      <c r="AI65">
        <f t="shared" si="34"/>
      </c>
      <c r="AJ65">
        <f t="shared" si="30"/>
      </c>
      <c r="AK65" s="386">
        <f t="shared" si="26"/>
      </c>
      <c r="AL65" s="386">
        <f t="shared" si="27"/>
      </c>
      <c r="AM65" s="408">
        <f t="shared" si="14"/>
      </c>
      <c r="AN65" s="374">
        <f t="shared" si="15"/>
      </c>
      <c r="AO65" s="384">
        <f t="shared" si="28"/>
      </c>
      <c r="AP65" s="381">
        <f t="shared" si="29"/>
      </c>
    </row>
    <row r="66" spans="1:42" ht="12.75">
      <c r="A66" s="223">
        <v>53</v>
      </c>
      <c r="B66" s="224" t="s">
        <v>116</v>
      </c>
      <c r="C66">
        <f>IF(RPA!S59="Y","Y","")</f>
      </c>
      <c r="D66">
        <f>IF(C66="","",IF(Criteria!C65="No Criteria","N",IF(SUM(Criteria!E65:F65)&gt;0,MIN(Criteria!E65:Criteria!F65),"")))</f>
      </c>
      <c r="F66">
        <f>IF(C66="","",IF(Criteria!D65="","N",Criteria!D65))</f>
      </c>
      <c r="I66">
        <f>IF(C66="","",IF(Criteria!F65="","No Acute",Criteria!F65))</f>
      </c>
      <c r="J66">
        <f>IF(C66="","",IF(Criteria!E65="","No Chronic",Criteria!E65))</f>
      </c>
      <c r="R66">
        <f t="shared" si="20"/>
      </c>
      <c r="S66" s="2">
        <f>IF(C66="","",IF('data input for RPA'!I61="N","N",IF('data input for RPA'!J61="N",'data input for RPA'!L61,'data input for RPA'!K61)))</f>
      </c>
      <c r="U66">
        <f t="shared" si="32"/>
      </c>
      <c r="V66">
        <f t="shared" si="33"/>
      </c>
      <c r="W66">
        <f t="shared" si="31"/>
      </c>
      <c r="Y66">
        <f t="shared" si="21"/>
      </c>
      <c r="Z66">
        <f t="shared" si="17"/>
      </c>
      <c r="AA66">
        <f t="shared" si="22"/>
      </c>
      <c r="AB66">
        <f t="shared" si="18"/>
      </c>
      <c r="AC66">
        <f t="shared" si="23"/>
      </c>
      <c r="AD66">
        <f t="shared" si="24"/>
      </c>
      <c r="AE66">
        <f t="shared" si="7"/>
      </c>
      <c r="AF66">
        <f t="shared" si="8"/>
      </c>
      <c r="AG66">
        <f t="shared" si="25"/>
      </c>
      <c r="AH66">
        <f t="shared" si="19"/>
      </c>
      <c r="AI66">
        <f t="shared" si="34"/>
      </c>
      <c r="AJ66">
        <f t="shared" si="30"/>
      </c>
      <c r="AK66" s="386">
        <f t="shared" si="26"/>
      </c>
      <c r="AL66" s="386">
        <f t="shared" si="27"/>
      </c>
      <c r="AM66" s="408">
        <f t="shared" si="14"/>
      </c>
      <c r="AN66" s="374">
        <f t="shared" si="15"/>
      </c>
      <c r="AO66" s="384">
        <f t="shared" si="28"/>
      </c>
      <c r="AP66" s="381">
        <f t="shared" si="29"/>
      </c>
    </row>
    <row r="67" spans="1:42" ht="12.75">
      <c r="A67" s="223">
        <v>54</v>
      </c>
      <c r="B67" s="224" t="s">
        <v>117</v>
      </c>
      <c r="C67">
        <f>IF(RPA!S60="Y","Y","")</f>
      </c>
      <c r="D67">
        <f>IF(C67="","",IF(Criteria!C66="No Criteria","N",IF(SUM(Criteria!E66:F66)&gt;0,MIN(Criteria!E66:Criteria!F66),"")))</f>
      </c>
      <c r="F67">
        <f>IF(C67="","",IF(Criteria!D66="","N",Criteria!D66))</f>
      </c>
      <c r="I67">
        <f>IF(C67="","",IF(Criteria!F66="","No Acute",Criteria!F66))</f>
      </c>
      <c r="J67">
        <f>IF(C67="","",IF(Criteria!E66="","No Chronic",Criteria!E66))</f>
      </c>
      <c r="R67">
        <f t="shared" si="20"/>
      </c>
      <c r="S67" s="2">
        <f>IF(C67="","",IF('data input for RPA'!I62="N","N",IF('data input for RPA'!J62="N",'data input for RPA'!L62,'data input for RPA'!K62)))</f>
      </c>
      <c r="U67">
        <f t="shared" si="32"/>
      </c>
      <c r="V67">
        <f t="shared" si="33"/>
      </c>
      <c r="W67">
        <f t="shared" si="31"/>
      </c>
      <c r="Y67">
        <f t="shared" si="21"/>
      </c>
      <c r="Z67">
        <f t="shared" si="17"/>
      </c>
      <c r="AA67">
        <f t="shared" si="22"/>
      </c>
      <c r="AB67">
        <f t="shared" si="18"/>
      </c>
      <c r="AC67">
        <f t="shared" si="23"/>
      </c>
      <c r="AD67">
        <f t="shared" si="24"/>
      </c>
      <c r="AE67">
        <f t="shared" si="7"/>
      </c>
      <c r="AF67">
        <f t="shared" si="8"/>
      </c>
      <c r="AG67">
        <f t="shared" si="25"/>
      </c>
      <c r="AH67">
        <f t="shared" si="19"/>
      </c>
      <c r="AI67">
        <f t="shared" si="34"/>
      </c>
      <c r="AJ67">
        <f t="shared" si="30"/>
      </c>
      <c r="AK67" s="386">
        <f t="shared" si="26"/>
      </c>
      <c r="AL67" s="386">
        <f t="shared" si="27"/>
      </c>
      <c r="AM67" s="408">
        <f t="shared" si="14"/>
      </c>
      <c r="AN67" s="374">
        <f t="shared" si="15"/>
      </c>
      <c r="AO67" s="384">
        <f t="shared" si="28"/>
      </c>
      <c r="AP67" s="381">
        <f t="shared" si="29"/>
      </c>
    </row>
    <row r="68" spans="1:42" ht="12.75">
      <c r="A68" s="223">
        <v>55</v>
      </c>
      <c r="B68" s="224" t="s">
        <v>118</v>
      </c>
      <c r="C68">
        <f>IF(RPA!S61="Y","Y","")</f>
      </c>
      <c r="D68">
        <f>IF(C68="","",IF(Criteria!C67="No Criteria","N",IF(SUM(Criteria!E67:F67)&gt;0,MIN(Criteria!E67:Criteria!F67),"")))</f>
      </c>
      <c r="F68">
        <f>IF(C68="","",IF(Criteria!D67="","N",Criteria!D67))</f>
      </c>
      <c r="I68">
        <f>IF(C68="","",IF(Criteria!F67="","No Acute",Criteria!F67))</f>
      </c>
      <c r="J68">
        <f>IF(C68="","",IF(Criteria!E67="","No Chronic",Criteria!E67))</f>
      </c>
      <c r="R68">
        <f t="shared" si="20"/>
      </c>
      <c r="S68" s="2">
        <f>IF(C68="","",IF('data input for RPA'!I63="N","N",IF('data input for RPA'!J63="N",'data input for RPA'!L63,'data input for RPA'!K63)))</f>
      </c>
      <c r="U68">
        <f t="shared" si="32"/>
      </c>
      <c r="V68">
        <f t="shared" si="33"/>
      </c>
      <c r="W68">
        <f t="shared" si="31"/>
      </c>
      <c r="Y68">
        <f t="shared" si="21"/>
      </c>
      <c r="Z68">
        <f t="shared" si="17"/>
      </c>
      <c r="AA68">
        <f t="shared" si="22"/>
      </c>
      <c r="AB68">
        <f t="shared" si="18"/>
      </c>
      <c r="AC68">
        <f t="shared" si="23"/>
      </c>
      <c r="AD68">
        <f t="shared" si="24"/>
      </c>
      <c r="AE68">
        <f t="shared" si="7"/>
      </c>
      <c r="AF68">
        <f t="shared" si="8"/>
      </c>
      <c r="AG68">
        <f t="shared" si="25"/>
      </c>
      <c r="AH68">
        <f t="shared" si="19"/>
      </c>
      <c r="AI68">
        <f t="shared" si="34"/>
      </c>
      <c r="AJ68">
        <f t="shared" si="30"/>
      </c>
      <c r="AK68" s="386">
        <f t="shared" si="26"/>
      </c>
      <c r="AL68" s="386">
        <f t="shared" si="27"/>
      </c>
      <c r="AM68" s="408">
        <f t="shared" si="14"/>
      </c>
      <c r="AN68" s="374">
        <f t="shared" si="15"/>
      </c>
      <c r="AO68" s="384">
        <f t="shared" si="28"/>
      </c>
      <c r="AP68" s="381">
        <f t="shared" si="29"/>
      </c>
    </row>
    <row r="69" spans="1:42" ht="12.75">
      <c r="A69" s="223">
        <v>56</v>
      </c>
      <c r="B69" s="224" t="s">
        <v>119</v>
      </c>
      <c r="C69">
        <f>IF(RPA!S62="Y","Y","")</f>
      </c>
      <c r="D69">
        <f>IF(C69="","",IF(Criteria!C68="No Criteria","N",IF(SUM(Criteria!E68:F68)&gt;0,MIN(Criteria!E68:Criteria!F68),"")))</f>
      </c>
      <c r="F69">
        <f>IF(C69="","",IF(Criteria!D68="","N",Criteria!D68))</f>
      </c>
      <c r="I69">
        <f>IF(C69="","",IF(Criteria!F68="","No Acute",Criteria!F68))</f>
      </c>
      <c r="J69">
        <f>IF(C69="","",IF(Criteria!E68="","No Chronic",Criteria!E68))</f>
      </c>
      <c r="R69">
        <f t="shared" si="20"/>
      </c>
      <c r="S69" s="2">
        <f>IF(C69="","",IF('data input for RPA'!I64="N","N",IF('data input for RPA'!J64="N",'data input for RPA'!L64,'data input for RPA'!K64)))</f>
      </c>
      <c r="U69">
        <f t="shared" si="32"/>
      </c>
      <c r="V69">
        <f t="shared" si="33"/>
      </c>
      <c r="W69">
        <f t="shared" si="31"/>
      </c>
      <c r="Y69">
        <f t="shared" si="21"/>
      </c>
      <c r="Z69">
        <f t="shared" si="17"/>
      </c>
      <c r="AA69">
        <f t="shared" si="22"/>
      </c>
      <c r="AB69">
        <f t="shared" si="18"/>
      </c>
      <c r="AC69">
        <f t="shared" si="23"/>
      </c>
      <c r="AD69">
        <f t="shared" si="24"/>
      </c>
      <c r="AE69">
        <f t="shared" si="7"/>
      </c>
      <c r="AF69">
        <f t="shared" si="8"/>
      </c>
      <c r="AG69">
        <f t="shared" si="25"/>
      </c>
      <c r="AH69">
        <f t="shared" si="19"/>
      </c>
      <c r="AI69">
        <f t="shared" si="34"/>
      </c>
      <c r="AJ69">
        <f t="shared" si="30"/>
      </c>
      <c r="AK69" s="386">
        <f t="shared" si="26"/>
      </c>
      <c r="AL69" s="386">
        <f t="shared" si="27"/>
      </c>
      <c r="AM69" s="408">
        <f t="shared" si="14"/>
      </c>
      <c r="AN69" s="374">
        <f t="shared" si="15"/>
      </c>
      <c r="AO69" s="384">
        <f t="shared" si="28"/>
      </c>
      <c r="AP69" s="381">
        <f t="shared" si="29"/>
      </c>
    </row>
    <row r="70" spans="1:42" ht="12.75">
      <c r="A70" s="223">
        <v>57</v>
      </c>
      <c r="B70" s="224" t="s">
        <v>224</v>
      </c>
      <c r="C70">
        <f>IF(RPA!S63="Y","Y","")</f>
      </c>
      <c r="D70">
        <f>IF(C70="","",IF(Criteria!C69="No Criteria","N",IF(SUM(Criteria!E69:F69)&gt;0,MIN(Criteria!E69:Criteria!F69),"")))</f>
      </c>
      <c r="F70">
        <f>IF(C70="","",IF(Criteria!D69="","N",Criteria!D69))</f>
      </c>
      <c r="I70">
        <f>IF(C70="","",IF(Criteria!F69="","No Acute",Criteria!F69))</f>
      </c>
      <c r="J70">
        <f>IF(C70="","",IF(Criteria!E69="","No Chronic",Criteria!E69))</f>
      </c>
      <c r="R70">
        <f t="shared" si="20"/>
      </c>
      <c r="S70" s="2">
        <f>IF(C70="","",IF('data input for RPA'!I65="N","N",IF('data input for RPA'!J65="N",'data input for RPA'!L65,'data input for RPA'!K65)))</f>
      </c>
      <c r="U70">
        <f t="shared" si="32"/>
      </c>
      <c r="V70">
        <f t="shared" si="33"/>
      </c>
      <c r="W70">
        <f t="shared" si="31"/>
      </c>
      <c r="Y70">
        <f t="shared" si="21"/>
      </c>
      <c r="Z70">
        <f t="shared" si="17"/>
      </c>
      <c r="AA70">
        <f t="shared" si="22"/>
      </c>
      <c r="AB70">
        <f t="shared" si="18"/>
      </c>
      <c r="AC70">
        <f t="shared" si="23"/>
      </c>
      <c r="AD70">
        <f t="shared" si="24"/>
      </c>
      <c r="AE70">
        <f t="shared" si="7"/>
      </c>
      <c r="AF70">
        <f t="shared" si="8"/>
      </c>
      <c r="AG70">
        <f t="shared" si="25"/>
      </c>
      <c r="AH70">
        <f t="shared" si="19"/>
      </c>
      <c r="AI70">
        <f t="shared" si="34"/>
      </c>
      <c r="AJ70">
        <f t="shared" si="30"/>
      </c>
      <c r="AK70" s="386">
        <f t="shared" si="26"/>
      </c>
      <c r="AL70" s="386">
        <f t="shared" si="27"/>
      </c>
      <c r="AM70" s="408">
        <f t="shared" si="14"/>
      </c>
      <c r="AN70" s="374">
        <f t="shared" si="15"/>
      </c>
      <c r="AO70" s="384">
        <f t="shared" si="28"/>
      </c>
      <c r="AP70" s="381">
        <f t="shared" si="29"/>
      </c>
    </row>
    <row r="71" spans="1:42" ht="12.75">
      <c r="A71" s="223">
        <v>58</v>
      </c>
      <c r="B71" s="224" t="s">
        <v>121</v>
      </c>
      <c r="C71">
        <f>IF(RPA!S64="Y","Y","")</f>
      </c>
      <c r="D71">
        <f>IF(C71="","",IF(Criteria!C70="No Criteria","N",IF(SUM(Criteria!E70:F70)&gt;0,MIN(Criteria!E70:Criteria!F70),"")))</f>
      </c>
      <c r="F71">
        <f>IF(C71="","",IF(Criteria!D70="","N",Criteria!D70))</f>
      </c>
      <c r="I71">
        <f>IF(C71="","",IF(Criteria!F70="","No Acute",Criteria!F70))</f>
      </c>
      <c r="J71">
        <f>IF(C71="","",IF(Criteria!E70="","No Chronic",Criteria!E70))</f>
      </c>
      <c r="R71">
        <f t="shared" si="20"/>
      </c>
      <c r="S71" s="2">
        <f>IF(C71="","",IF('data input for RPA'!I66="N","N",IF('data input for RPA'!J66="N",'data input for RPA'!L66,'data input for RPA'!K66)))</f>
      </c>
      <c r="U71">
        <f t="shared" si="32"/>
      </c>
      <c r="V71">
        <f t="shared" si="33"/>
      </c>
      <c r="W71">
        <f t="shared" si="31"/>
      </c>
      <c r="Y71">
        <f t="shared" si="21"/>
      </c>
      <c r="Z71">
        <f t="shared" si="17"/>
      </c>
      <c r="AA71">
        <f t="shared" si="22"/>
      </c>
      <c r="AB71">
        <f t="shared" si="18"/>
      </c>
      <c r="AC71">
        <f t="shared" si="23"/>
      </c>
      <c r="AD71">
        <f t="shared" si="24"/>
      </c>
      <c r="AE71">
        <f t="shared" si="7"/>
      </c>
      <c r="AF71">
        <f t="shared" si="8"/>
      </c>
      <c r="AG71">
        <f t="shared" si="25"/>
      </c>
      <c r="AH71">
        <f t="shared" si="19"/>
      </c>
      <c r="AI71">
        <f t="shared" si="34"/>
      </c>
      <c r="AJ71">
        <f t="shared" si="30"/>
      </c>
      <c r="AK71" s="386">
        <f t="shared" si="26"/>
      </c>
      <c r="AL71" s="386">
        <f t="shared" si="27"/>
      </c>
      <c r="AM71" s="408">
        <f t="shared" si="14"/>
      </c>
      <c r="AN71" s="374">
        <f t="shared" si="15"/>
      </c>
      <c r="AO71" s="384">
        <f t="shared" si="28"/>
      </c>
      <c r="AP71" s="381">
        <f t="shared" si="29"/>
      </c>
    </row>
    <row r="72" spans="1:42" ht="12.75">
      <c r="A72" s="223">
        <v>59</v>
      </c>
      <c r="B72" s="224" t="s">
        <v>122</v>
      </c>
      <c r="C72">
        <f>IF(RPA!S65="Y","Y","")</f>
      </c>
      <c r="D72">
        <f>IF(C72="","",IF(Criteria!C71="No Criteria","N",IF(SUM(Criteria!E71:F71)&gt;0,MIN(Criteria!E71:Criteria!F71),"")))</f>
      </c>
      <c r="F72">
        <f>IF(C72="","",IF(Criteria!D71="","N",Criteria!D71))</f>
      </c>
      <c r="I72">
        <f>IF(C72="","",IF(Criteria!F71="","No Acute",Criteria!F71))</f>
      </c>
      <c r="J72">
        <f>IF(C72="","",IF(Criteria!E71="","No Chronic",Criteria!E71))</f>
      </c>
      <c r="R72">
        <f t="shared" si="20"/>
      </c>
      <c r="S72" s="2">
        <f>IF(C72="","",IF('data input for RPA'!I67="N","N",IF('data input for RPA'!J67="N",'data input for RPA'!L67,'data input for RPA'!K67)))</f>
      </c>
      <c r="U72">
        <f t="shared" si="32"/>
      </c>
      <c r="V72">
        <f t="shared" si="33"/>
      </c>
      <c r="W72">
        <f t="shared" si="31"/>
      </c>
      <c r="Y72">
        <f t="shared" si="21"/>
      </c>
      <c r="Z72">
        <f t="shared" si="17"/>
      </c>
      <c r="AA72">
        <f t="shared" si="22"/>
      </c>
      <c r="AB72">
        <f t="shared" si="18"/>
      </c>
      <c r="AC72">
        <f t="shared" si="23"/>
      </c>
      <c r="AD72">
        <f t="shared" si="24"/>
      </c>
      <c r="AE72">
        <f t="shared" si="7"/>
      </c>
      <c r="AF72">
        <f t="shared" si="8"/>
      </c>
      <c r="AG72">
        <f t="shared" si="25"/>
      </c>
      <c r="AH72">
        <f t="shared" si="19"/>
      </c>
      <c r="AI72">
        <f t="shared" si="34"/>
      </c>
      <c r="AJ72">
        <f t="shared" si="30"/>
      </c>
      <c r="AK72" s="386">
        <f t="shared" si="26"/>
      </c>
      <c r="AL72" s="386">
        <f t="shared" si="27"/>
      </c>
      <c r="AM72" s="408">
        <f t="shared" si="14"/>
      </c>
      <c r="AN72" s="374">
        <f t="shared" si="15"/>
      </c>
      <c r="AO72" s="384">
        <f t="shared" si="28"/>
      </c>
      <c r="AP72" s="381">
        <f t="shared" si="29"/>
      </c>
    </row>
    <row r="73" spans="1:42" ht="12.75">
      <c r="A73" s="223">
        <v>60</v>
      </c>
      <c r="B73" s="224" t="s">
        <v>123</v>
      </c>
      <c r="C73">
        <f>IF(RPA!S66="Y","Y","")</f>
      </c>
      <c r="D73">
        <f>IF(C73="","",IF(Criteria!C72="No Criteria","N",IF(SUM(Criteria!E72:F72)&gt;0,MIN(Criteria!E72:Criteria!F72),"")))</f>
      </c>
      <c r="F73">
        <f>IF(C73="","",IF(Criteria!D72="","N",Criteria!D72))</f>
      </c>
      <c r="I73">
        <f>IF(C73="","",IF(Criteria!F72="","No Acute",Criteria!F72))</f>
      </c>
      <c r="J73">
        <f>IF(C73="","",IF(Criteria!E72="","No Chronic",Criteria!E72))</f>
      </c>
      <c r="R73">
        <f t="shared" si="20"/>
      </c>
      <c r="S73" s="2">
        <f>IF(C73="","",IF('data input for RPA'!I68="N","N",IF('data input for RPA'!J68="N",'data input for RPA'!L68,'data input for RPA'!K68)))</f>
      </c>
      <c r="U73">
        <f t="shared" si="32"/>
      </c>
      <c r="V73">
        <f t="shared" si="33"/>
      </c>
      <c r="W73">
        <f t="shared" si="31"/>
      </c>
      <c r="Y73">
        <f t="shared" si="21"/>
      </c>
      <c r="Z73">
        <f t="shared" si="17"/>
      </c>
      <c r="AA73">
        <f t="shared" si="22"/>
      </c>
      <c r="AB73">
        <f t="shared" si="18"/>
      </c>
      <c r="AC73">
        <f t="shared" si="23"/>
      </c>
      <c r="AD73">
        <f t="shared" si="24"/>
      </c>
      <c r="AE73">
        <f t="shared" si="7"/>
      </c>
      <c r="AF73">
        <f t="shared" si="8"/>
      </c>
      <c r="AG73">
        <f t="shared" si="25"/>
      </c>
      <c r="AH73">
        <f t="shared" si="19"/>
      </c>
      <c r="AI73">
        <f t="shared" si="34"/>
      </c>
      <c r="AJ73">
        <f t="shared" si="30"/>
      </c>
      <c r="AK73" s="386">
        <f t="shared" si="26"/>
      </c>
      <c r="AL73" s="386">
        <f t="shared" si="27"/>
      </c>
      <c r="AM73" s="408">
        <f t="shared" si="14"/>
      </c>
      <c r="AN73" s="374">
        <f t="shared" si="15"/>
      </c>
      <c r="AO73" s="384">
        <f t="shared" si="28"/>
      </c>
      <c r="AP73" s="381">
        <f t="shared" si="29"/>
      </c>
    </row>
    <row r="74" spans="1:42" ht="12.75">
      <c r="A74" s="223">
        <v>61</v>
      </c>
      <c r="B74" s="224" t="s">
        <v>124</v>
      </c>
      <c r="C74">
        <f>IF(RPA!S67="Y","Y","")</f>
      </c>
      <c r="D74">
        <f>IF(C74="","",IF(Criteria!C73="No Criteria","N",IF(SUM(Criteria!E73:F73)&gt;0,MIN(Criteria!E73:Criteria!F73),"")))</f>
      </c>
      <c r="F74">
        <f>IF(C74="","",IF(Criteria!D73="","N",Criteria!D73))</f>
      </c>
      <c r="I74">
        <f>IF(C74="","",IF(Criteria!F73="","No Acute",Criteria!F73))</f>
      </c>
      <c r="J74">
        <f>IF(C74="","",IF(Criteria!E73="","No Chronic",Criteria!E73))</f>
      </c>
      <c r="R74">
        <f t="shared" si="20"/>
      </c>
      <c r="S74" s="2">
        <f>IF(C74="","",IF('data input for RPA'!I69="N","N",IF('data input for RPA'!J69="N",'data input for RPA'!L69,'data input for RPA'!K69)))</f>
      </c>
      <c r="U74">
        <f t="shared" si="32"/>
      </c>
      <c r="V74">
        <f t="shared" si="33"/>
      </c>
      <c r="W74">
        <f t="shared" si="31"/>
      </c>
      <c r="Y74">
        <f t="shared" si="21"/>
      </c>
      <c r="Z74">
        <f t="shared" si="17"/>
      </c>
      <c r="AA74">
        <f t="shared" si="22"/>
      </c>
      <c r="AB74">
        <f t="shared" si="18"/>
      </c>
      <c r="AC74">
        <f t="shared" si="23"/>
      </c>
      <c r="AD74">
        <f t="shared" si="24"/>
      </c>
      <c r="AE74">
        <f t="shared" si="7"/>
      </c>
      <c r="AF74">
        <f t="shared" si="8"/>
      </c>
      <c r="AG74">
        <f t="shared" si="25"/>
      </c>
      <c r="AH74">
        <f t="shared" si="19"/>
      </c>
      <c r="AI74">
        <f t="shared" si="34"/>
      </c>
      <c r="AJ74">
        <f t="shared" si="30"/>
      </c>
      <c r="AK74" s="386">
        <f t="shared" si="26"/>
      </c>
      <c r="AL74" s="386">
        <f t="shared" si="27"/>
      </c>
      <c r="AM74" s="408">
        <f t="shared" si="14"/>
      </c>
      <c r="AN74" s="374">
        <f t="shared" si="15"/>
      </c>
      <c r="AO74" s="384">
        <f t="shared" si="28"/>
      </c>
      <c r="AP74" s="381">
        <f t="shared" si="29"/>
      </c>
    </row>
    <row r="75" spans="1:42" ht="12.75">
      <c r="A75" s="223">
        <v>62</v>
      </c>
      <c r="B75" s="224" t="s">
        <v>125</v>
      </c>
      <c r="C75">
        <f>IF(RPA!S68="Y","Y","")</f>
      </c>
      <c r="D75">
        <f>IF(C75="","",IF(Criteria!C74="No Criteria","N",IF(SUM(Criteria!E74:F74)&gt;0,MIN(Criteria!E74:Criteria!F74),"")))</f>
      </c>
      <c r="F75">
        <f>IF(C75="","",IF(Criteria!D74="","N",Criteria!D74))</f>
      </c>
      <c r="I75">
        <f>IF(C75="","",IF(Criteria!F74="","No Acute",Criteria!F74))</f>
      </c>
      <c r="J75">
        <f>IF(C75="","",IF(Criteria!E74="","No Chronic",Criteria!E74))</f>
      </c>
      <c r="R75">
        <f t="shared" si="20"/>
      </c>
      <c r="S75" s="2">
        <f>IF(C75="","",IF('data input for RPA'!I70="N","N",IF('data input for RPA'!J70="N",'data input for RPA'!L70,'data input for RPA'!K70)))</f>
      </c>
      <c r="U75">
        <f t="shared" si="32"/>
      </c>
      <c r="V75">
        <f t="shared" si="33"/>
      </c>
      <c r="W75">
        <f t="shared" si="31"/>
      </c>
      <c r="Y75">
        <f t="shared" si="21"/>
      </c>
      <c r="Z75">
        <f t="shared" si="17"/>
      </c>
      <c r="AA75">
        <f t="shared" si="22"/>
      </c>
      <c r="AB75">
        <f t="shared" si="18"/>
      </c>
      <c r="AC75">
        <f t="shared" si="23"/>
      </c>
      <c r="AD75">
        <f t="shared" si="24"/>
      </c>
      <c r="AE75">
        <f t="shared" si="7"/>
      </c>
      <c r="AF75">
        <f t="shared" si="8"/>
      </c>
      <c r="AG75">
        <f t="shared" si="25"/>
      </c>
      <c r="AH75">
        <f t="shared" si="19"/>
      </c>
      <c r="AI75">
        <f t="shared" si="34"/>
      </c>
      <c r="AJ75">
        <f t="shared" si="30"/>
      </c>
      <c r="AK75" s="386">
        <f t="shared" si="26"/>
      </c>
      <c r="AL75" s="386">
        <f t="shared" si="27"/>
      </c>
      <c r="AM75" s="408">
        <f t="shared" si="14"/>
      </c>
      <c r="AN75" s="374">
        <f t="shared" si="15"/>
      </c>
      <c r="AO75" s="384">
        <f t="shared" si="28"/>
      </c>
      <c r="AP75" s="381">
        <f t="shared" si="29"/>
      </c>
    </row>
    <row r="76" spans="1:42" ht="12.75">
      <c r="A76" s="223">
        <v>63</v>
      </c>
      <c r="B76" s="224" t="s">
        <v>126</v>
      </c>
      <c r="C76">
        <f>IF(RPA!S69="Y","Y","")</f>
      </c>
      <c r="D76">
        <f>IF(C76="","",IF(Criteria!C75="No Criteria","N",IF(SUM(Criteria!E75:F75)&gt;0,MIN(Criteria!E75:Criteria!F75),"")))</f>
      </c>
      <c r="F76">
        <f>IF(C76="","",IF(Criteria!D75="","N",Criteria!D75))</f>
      </c>
      <c r="I76">
        <f>IF(C76="","",IF(Criteria!F75="","No Acute",Criteria!F75))</f>
      </c>
      <c r="J76">
        <f>IF(C76="","",IF(Criteria!E75="","No Chronic",Criteria!E75))</f>
      </c>
      <c r="R76">
        <f t="shared" si="20"/>
      </c>
      <c r="S76" s="2">
        <f>IF(C76="","",IF('data input for RPA'!I71="N","N",IF('data input for RPA'!J71="N",'data input for RPA'!L71,'data input for RPA'!K71)))</f>
      </c>
      <c r="U76">
        <f t="shared" si="32"/>
      </c>
      <c r="V76">
        <f t="shared" si="33"/>
      </c>
      <c r="W76">
        <f t="shared" si="31"/>
      </c>
      <c r="Y76">
        <f t="shared" si="21"/>
      </c>
      <c r="Z76">
        <f t="shared" si="17"/>
      </c>
      <c r="AA76">
        <f t="shared" si="22"/>
      </c>
      <c r="AB76">
        <f t="shared" si="18"/>
      </c>
      <c r="AC76">
        <f t="shared" si="23"/>
      </c>
      <c r="AD76">
        <f t="shared" si="24"/>
      </c>
      <c r="AE76">
        <f aca="true" t="shared" si="35" ref="AE76:AE122">IF(AC76="","",IF(U76="No Background","",IF(I76="No Acute","",U76*AC76)))</f>
      </c>
      <c r="AF76">
        <f aca="true" t="shared" si="36" ref="AF76:AF122">IF(AD76="","",IF(V76="No Background","",IF(V76="","",IF(J76="No Chronic","",V76*AD76))))</f>
      </c>
      <c r="AG76">
        <f t="shared" si="25"/>
      </c>
      <c r="AH76">
        <f t="shared" si="19"/>
      </c>
      <c r="AI76">
        <f t="shared" si="34"/>
      </c>
      <c r="AJ76">
        <f t="shared" si="30"/>
      </c>
      <c r="AK76" s="386">
        <f t="shared" si="26"/>
      </c>
      <c r="AL76" s="386">
        <f t="shared" si="27"/>
      </c>
      <c r="AM76" s="408">
        <f t="shared" si="14"/>
      </c>
      <c r="AN76" s="374">
        <f t="shared" si="15"/>
      </c>
      <c r="AO76" s="384">
        <f t="shared" si="28"/>
      </c>
      <c r="AP76" s="381">
        <f t="shared" si="29"/>
      </c>
    </row>
    <row r="77" spans="1:42" ht="12.75">
      <c r="A77" s="223">
        <v>64</v>
      </c>
      <c r="B77" s="224" t="s">
        <v>127</v>
      </c>
      <c r="C77">
        <f>IF(RPA!S70="Y","Y","")</f>
      </c>
      <c r="D77">
        <f>IF(C77="","",IF(Criteria!C76="No Criteria","N",IF(SUM(Criteria!E76:F76)&gt;0,MIN(Criteria!E76:Criteria!F76),"")))</f>
      </c>
      <c r="F77">
        <f>IF(C77="","",IF(Criteria!D76="","N",Criteria!D76))</f>
      </c>
      <c r="I77">
        <f>IF(C77="","",IF(Criteria!F76="","No Acute",Criteria!F76))</f>
      </c>
      <c r="J77">
        <f>IF(C77="","",IF(Criteria!E76="","No Chronic",Criteria!E76))</f>
      </c>
      <c r="R77">
        <f t="shared" si="20"/>
      </c>
      <c r="S77" s="2">
        <f>IF(C77="","",IF('data input for RPA'!I72="N","N",IF('data input for RPA'!J72="N",'data input for RPA'!L72,'data input for RPA'!K72)))</f>
      </c>
      <c r="U77">
        <f t="shared" si="32"/>
      </c>
      <c r="V77">
        <f t="shared" si="33"/>
      </c>
      <c r="W77">
        <f t="shared" si="31"/>
      </c>
      <c r="Y77">
        <f t="shared" si="21"/>
      </c>
      <c r="Z77">
        <f aca="true" t="shared" si="37" ref="Z77:Z135">IF(Y77="","",IF(Y77="No CV","",SQRT(Y77)))</f>
      </c>
      <c r="AA77">
        <f t="shared" si="22"/>
      </c>
      <c r="AB77">
        <f aca="true" t="shared" si="38" ref="AB77:AB135">IF(AA77="","",SQRT(AA77))</f>
      </c>
      <c r="AC77">
        <f t="shared" si="23"/>
      </c>
      <c r="AD77">
        <f t="shared" si="24"/>
      </c>
      <c r="AE77">
        <f t="shared" si="35"/>
      </c>
      <c r="AF77">
        <f t="shared" si="36"/>
      </c>
      <c r="AG77">
        <f t="shared" si="25"/>
      </c>
      <c r="AH77">
        <f aca="true" t="shared" si="39" ref="AH77:AH135">IF(AG77="","",SQRT(AG77))</f>
      </c>
      <c r="AI77">
        <f t="shared" si="34"/>
      </c>
      <c r="AJ77">
        <f t="shared" si="30"/>
      </c>
      <c r="AK77" s="386">
        <f t="shared" si="26"/>
      </c>
      <c r="AL77" s="386">
        <f t="shared" si="27"/>
      </c>
      <c r="AM77" s="408">
        <f aca="true" t="shared" si="40" ref="AM77:AM121">IF(AN77="","",IF(SUM(AI77:AJ77)=0,"No AMEL/MDEL",AN77*AI77/AJ77))</f>
      </c>
      <c r="AN77" s="374">
        <f aca="true" t="shared" si="41" ref="AN77:AN121">IF(W77="","",IF(W77="No HH Criteria","",IF(SUM(AI77:AJ77)=0,"",W77)))</f>
      </c>
      <c r="AO77" s="384">
        <f t="shared" si="28"/>
      </c>
      <c r="AP77" s="381">
        <f t="shared" si="29"/>
      </c>
    </row>
    <row r="78" spans="1:42" ht="12.75">
      <c r="A78" s="223">
        <v>65</v>
      </c>
      <c r="B78" s="224" t="s">
        <v>128</v>
      </c>
      <c r="C78">
        <f>IF(RPA!S71="Y","Y","")</f>
      </c>
      <c r="D78">
        <f>IF(C78="","",IF(Criteria!C77="No Criteria","N",IF(SUM(Criteria!E77:F77)&gt;0,MIN(Criteria!E77:Criteria!F77),"")))</f>
      </c>
      <c r="F78">
        <f>IF(C78="","",IF(Criteria!D77="","N",Criteria!D77))</f>
      </c>
      <c r="I78">
        <f>IF(C78="","",IF(Criteria!F77="","No Acute",Criteria!F77))</f>
      </c>
      <c r="J78">
        <f>IF(C78="","",IF(Criteria!E77="","No Chronic",Criteria!E77))</f>
      </c>
      <c r="R78">
        <f t="shared" si="20"/>
      </c>
      <c r="S78" s="2">
        <f>IF(C78="","",IF('data input for RPA'!I73="N","N",IF('data input for RPA'!J73="N",'data input for RPA'!L73,'data input for RPA'!K73)))</f>
      </c>
      <c r="U78">
        <f t="shared" si="32"/>
      </c>
      <c r="V78">
        <f t="shared" si="33"/>
      </c>
      <c r="W78">
        <f t="shared" si="31"/>
      </c>
      <c r="Y78">
        <f t="shared" si="21"/>
      </c>
      <c r="Z78">
        <f t="shared" si="37"/>
      </c>
      <c r="AA78">
        <f t="shared" si="22"/>
      </c>
      <c r="AB78">
        <f t="shared" si="38"/>
      </c>
      <c r="AC78">
        <f t="shared" si="23"/>
      </c>
      <c r="AD78">
        <f t="shared" si="24"/>
      </c>
      <c r="AE78">
        <f t="shared" si="35"/>
      </c>
      <c r="AF78">
        <f t="shared" si="36"/>
      </c>
      <c r="AG78">
        <f t="shared" si="25"/>
      </c>
      <c r="AH78">
        <f t="shared" si="39"/>
      </c>
      <c r="AI78">
        <f t="shared" si="34"/>
      </c>
      <c r="AJ78">
        <f t="shared" si="30"/>
      </c>
      <c r="AK78" s="386">
        <f t="shared" si="26"/>
      </c>
      <c r="AL78" s="386">
        <f t="shared" si="27"/>
      </c>
      <c r="AM78" s="408">
        <f t="shared" si="40"/>
      </c>
      <c r="AN78" s="374">
        <f t="shared" si="41"/>
      </c>
      <c r="AO78" s="384">
        <f t="shared" si="28"/>
      </c>
      <c r="AP78" s="381">
        <f t="shared" si="29"/>
      </c>
    </row>
    <row r="79" spans="1:42" ht="12.75">
      <c r="A79" s="223">
        <v>66</v>
      </c>
      <c r="B79" s="224" t="s">
        <v>129</v>
      </c>
      <c r="C79">
        <f>IF(RPA!S72="Y","Y","")</f>
      </c>
      <c r="D79">
        <f>IF(C79="","",IF(Criteria!C78="No Criteria","N",IF(SUM(Criteria!E78:F78)&gt;0,MIN(Criteria!E78:Criteria!F78),"")))</f>
      </c>
      <c r="F79">
        <f>IF(C79="","",IF(Criteria!D78="","N",Criteria!D78))</f>
      </c>
      <c r="I79">
        <f>IF(C79="","",IF(Criteria!F78="","No Acute",Criteria!F78))</f>
      </c>
      <c r="J79">
        <f>IF(C79="","",IF(Criteria!E78="","No Chronic",Criteria!E78))</f>
      </c>
      <c r="R79">
        <f t="shared" si="20"/>
      </c>
      <c r="S79" s="2">
        <f>IF(C79="","",IF('data input for RPA'!I74="N","N",IF('data input for RPA'!J74="N",'data input for RPA'!L74,'data input for RPA'!K74)))</f>
      </c>
      <c r="U79">
        <f t="shared" si="32"/>
      </c>
      <c r="V79">
        <f t="shared" si="33"/>
      </c>
      <c r="W79">
        <f t="shared" si="31"/>
      </c>
      <c r="Y79">
        <f t="shared" si="21"/>
      </c>
      <c r="Z79">
        <f t="shared" si="37"/>
      </c>
      <c r="AA79">
        <f t="shared" si="22"/>
      </c>
      <c r="AB79">
        <f t="shared" si="38"/>
      </c>
      <c r="AC79">
        <f t="shared" si="23"/>
      </c>
      <c r="AD79">
        <f t="shared" si="24"/>
      </c>
      <c r="AE79">
        <f t="shared" si="35"/>
      </c>
      <c r="AF79">
        <f t="shared" si="36"/>
      </c>
      <c r="AG79">
        <f t="shared" si="25"/>
      </c>
      <c r="AH79">
        <f t="shared" si="39"/>
      </c>
      <c r="AI79">
        <f t="shared" si="34"/>
      </c>
      <c r="AJ79">
        <f t="shared" si="30"/>
      </c>
      <c r="AK79" s="386">
        <f t="shared" si="26"/>
      </c>
      <c r="AL79" s="386">
        <f t="shared" si="27"/>
      </c>
      <c r="AM79" s="408">
        <f t="shared" si="40"/>
      </c>
      <c r="AN79" s="374">
        <f t="shared" si="41"/>
      </c>
      <c r="AO79" s="384">
        <f t="shared" si="28"/>
      </c>
      <c r="AP79" s="381">
        <f t="shared" si="29"/>
      </c>
    </row>
    <row r="80" spans="1:42" ht="12.75">
      <c r="A80" s="223">
        <v>67</v>
      </c>
      <c r="B80" s="224" t="s">
        <v>130</v>
      </c>
      <c r="C80">
        <f>IF(RPA!S73="Y","Y","")</f>
      </c>
      <c r="D80">
        <f>IF(C80="","",IF(Criteria!C79="No Criteria","N",IF(SUM(Criteria!E79:F79)&gt;0,MIN(Criteria!E79:Criteria!F79),"")))</f>
      </c>
      <c r="F80">
        <f>IF(C80="","",IF(Criteria!D79="","N",Criteria!D79))</f>
      </c>
      <c r="I80">
        <f>IF(C80="","",IF(Criteria!F79="","No Acute",Criteria!F79))</f>
      </c>
      <c r="J80">
        <f>IF(C80="","",IF(Criteria!E79="","No Chronic",Criteria!E79))</f>
      </c>
      <c r="R80">
        <f t="shared" si="20"/>
      </c>
      <c r="S80" s="2">
        <f>IF(C80="","",IF('data input for RPA'!I75="N","N",IF('data input for RPA'!J75="N",'data input for RPA'!L75,'data input for RPA'!K75)))</f>
      </c>
      <c r="U80">
        <f t="shared" si="32"/>
      </c>
      <c r="V80">
        <f t="shared" si="33"/>
      </c>
      <c r="W80">
        <f t="shared" si="31"/>
      </c>
      <c r="Y80">
        <f t="shared" si="21"/>
      </c>
      <c r="Z80">
        <f t="shared" si="37"/>
      </c>
      <c r="AA80">
        <f t="shared" si="22"/>
      </c>
      <c r="AB80">
        <f t="shared" si="38"/>
      </c>
      <c r="AC80">
        <f t="shared" si="23"/>
      </c>
      <c r="AD80">
        <f t="shared" si="24"/>
      </c>
      <c r="AE80">
        <f t="shared" si="35"/>
      </c>
      <c r="AF80">
        <f t="shared" si="36"/>
      </c>
      <c r="AG80">
        <f t="shared" si="25"/>
      </c>
      <c r="AH80">
        <f t="shared" si="39"/>
      </c>
      <c r="AI80">
        <f t="shared" si="34"/>
      </c>
      <c r="AJ80">
        <f t="shared" si="30"/>
      </c>
      <c r="AK80" s="386">
        <f t="shared" si="26"/>
      </c>
      <c r="AL80" s="386">
        <f t="shared" si="27"/>
      </c>
      <c r="AM80" s="408">
        <f t="shared" si="40"/>
      </c>
      <c r="AN80" s="374">
        <f t="shared" si="41"/>
      </c>
      <c r="AO80" s="384">
        <f t="shared" si="28"/>
      </c>
      <c r="AP80" s="381">
        <f t="shared" si="29"/>
      </c>
    </row>
    <row r="81" spans="1:42" ht="12.75">
      <c r="A81" s="223">
        <v>68</v>
      </c>
      <c r="B81" s="224" t="s">
        <v>131</v>
      </c>
      <c r="C81">
        <f>IF(RPA!S74="Y","Y","")</f>
      </c>
      <c r="D81">
        <f>IF(C81="","",IF(Criteria!C80="No Criteria","N",IF(SUM(Criteria!E80:F80)&gt;0,MIN(Criteria!E80:Criteria!F80),"")))</f>
      </c>
      <c r="F81">
        <f>IF(C81="","",IF(Criteria!D80="","N",Criteria!D80))</f>
      </c>
      <c r="I81">
        <f>IF(C81="","",IF(Criteria!F80="","No Acute",Criteria!F80))</f>
      </c>
      <c r="J81">
        <f>IF(C81="","",IF(Criteria!E80="","No Chronic",Criteria!E80))</f>
      </c>
      <c r="R81">
        <f t="shared" si="20"/>
      </c>
      <c r="S81" s="2">
        <f>IF(C81="","",IF('data input for RPA'!I76="N","N",IF('data input for RPA'!J76="N",'data input for RPA'!L76,'data input for RPA'!K76)))</f>
      </c>
      <c r="U81">
        <f t="shared" si="32"/>
      </c>
      <c r="V81">
        <f t="shared" si="33"/>
      </c>
      <c r="W81">
        <f t="shared" si="31"/>
      </c>
      <c r="Y81">
        <f t="shared" si="21"/>
      </c>
      <c r="Z81">
        <f t="shared" si="37"/>
      </c>
      <c r="AA81">
        <f t="shared" si="22"/>
      </c>
      <c r="AB81">
        <f t="shared" si="38"/>
      </c>
      <c r="AC81">
        <f t="shared" si="23"/>
      </c>
      <c r="AD81">
        <f t="shared" si="24"/>
      </c>
      <c r="AE81">
        <f t="shared" si="35"/>
      </c>
      <c r="AF81">
        <f t="shared" si="36"/>
      </c>
      <c r="AG81">
        <f t="shared" si="25"/>
      </c>
      <c r="AH81">
        <f t="shared" si="39"/>
      </c>
      <c r="AI81">
        <f t="shared" si="34"/>
      </c>
      <c r="AJ81">
        <f t="shared" si="30"/>
      </c>
      <c r="AK81" s="386">
        <f t="shared" si="26"/>
      </c>
      <c r="AL81" s="386">
        <f t="shared" si="27"/>
      </c>
      <c r="AM81" s="408">
        <f t="shared" si="40"/>
      </c>
      <c r="AN81" s="374">
        <f t="shared" si="41"/>
      </c>
      <c r="AO81" s="384">
        <f t="shared" si="28"/>
      </c>
      <c r="AP81" s="381">
        <f t="shared" si="29"/>
      </c>
    </row>
    <row r="82" spans="1:42" ht="12.75">
      <c r="A82" s="223">
        <v>69</v>
      </c>
      <c r="B82" s="224" t="s">
        <v>132</v>
      </c>
      <c r="C82">
        <f>IF(RPA!S75="Y","Y","")</f>
      </c>
      <c r="D82">
        <f>IF(C82="","",IF(Criteria!C81="No Criteria","N",IF(SUM(Criteria!E81:F81)&gt;0,MIN(Criteria!E81:Criteria!F81),"")))</f>
      </c>
      <c r="F82">
        <f>IF(C82="","",IF(Criteria!D81="","N",Criteria!D81))</f>
      </c>
      <c r="I82">
        <f>IF(C82="","",IF(Criteria!F81="","No Acute",Criteria!F81))</f>
      </c>
      <c r="J82">
        <f>IF(C82="","",IF(Criteria!E81="","No Chronic",Criteria!E81))</f>
      </c>
      <c r="R82">
        <f aca="true" t="shared" si="42" ref="R82:R135">IF((K82+N82=0),"",N82/(K82+N82))</f>
      </c>
      <c r="S82" s="2">
        <f>IF(C82="","",IF('data input for RPA'!I77="N","N",IF('data input for RPA'!J77="N",'data input for RPA'!L77,'data input for RPA'!K77)))</f>
      </c>
      <c r="U82">
        <f t="shared" si="32"/>
      </c>
      <c r="V82">
        <f t="shared" si="33"/>
      </c>
      <c r="W82">
        <f t="shared" si="31"/>
      </c>
      <c r="Y82">
        <f aca="true" t="shared" si="43" ref="Y82:Y135">IF(C82="","",IF(X82="","No CV",LN(X82^2+1)))</f>
      </c>
      <c r="Z82">
        <f t="shared" si="37"/>
      </c>
      <c r="AA82">
        <f aca="true" t="shared" si="44" ref="AA82:AA135">IF(Y82="","",IF(Y82="No CV","",LN((X82^2)/4+1)))</f>
      </c>
      <c r="AB82">
        <f t="shared" si="38"/>
      </c>
      <c r="AC82">
        <f aca="true" t="shared" si="45" ref="AC82:AC135">IF(Y82="","",IF(Y82="No CV","",EXP(0.5*Y82-2.326*Z82)))</f>
      </c>
      <c r="AD82">
        <f aca="true" t="shared" si="46" ref="AD82:AD135">IF(Y82="","",IF(Y82="No CV","",EXP(0.5*AA82-2.326*AB82)))</f>
      </c>
      <c r="AE82">
        <f t="shared" si="35"/>
      </c>
      <c r="AF82">
        <f t="shared" si="36"/>
      </c>
      <c r="AG82">
        <f aca="true" t="shared" si="47" ref="AG82:AG135">IF(Y82="","",IF(Y82="No CV","",LN((X82^2)/$D$2+1)))</f>
      </c>
      <c r="AH82">
        <f t="shared" si="39"/>
      </c>
      <c r="AI82">
        <f t="shared" si="34"/>
      </c>
      <c r="AJ82">
        <f t="shared" si="30"/>
      </c>
      <c r="AK82" s="386">
        <f aca="true" t="shared" si="48" ref="AK82:AK135">IF(AI82="","",MIN(AE82:AF82)*AI82)</f>
      </c>
      <c r="AL82" s="386">
        <f aca="true" t="shared" si="49" ref="AL82:AL135">IF(AJ82="","",MIN(AE82:AF82)*AJ82)</f>
      </c>
      <c r="AM82" s="408">
        <f t="shared" si="40"/>
      </c>
      <c r="AN82" s="374">
        <f t="shared" si="41"/>
      </c>
      <c r="AO82" s="384">
        <f aca="true" t="shared" si="50" ref="AO82:AO135">IF(SUM(AK82,AM82)=0,"",MIN(AK82,AM82))</f>
      </c>
      <c r="AP82" s="381">
        <f aca="true" t="shared" si="51" ref="AP82:AP135">IF(SUM(AL82,AN82)=0,"",MIN(AL82,AN82))</f>
      </c>
    </row>
    <row r="83" spans="1:42" ht="12.75">
      <c r="A83" s="223">
        <v>70</v>
      </c>
      <c r="B83" s="224" t="s">
        <v>133</v>
      </c>
      <c r="C83">
        <f>IF(RPA!S76="Y","Y","")</f>
      </c>
      <c r="D83">
        <f>IF(C83="","",IF(Criteria!C82="No Criteria","N",IF(SUM(Criteria!E82:F82)&gt;0,MIN(Criteria!E82:Criteria!F82),"")))</f>
      </c>
      <c r="F83">
        <f>IF(C83="","",IF(Criteria!D82="","N",Criteria!D82))</f>
      </c>
      <c r="I83">
        <f>IF(C83="","",IF(Criteria!F82="","No Acute",Criteria!F82))</f>
      </c>
      <c r="J83">
        <f>IF(C83="","",IF(Criteria!E82="","No Chronic",Criteria!E82))</f>
      </c>
      <c r="R83">
        <f t="shared" si="42"/>
      </c>
      <c r="S83" s="2">
        <f>IF(C83="","",IF('data input for RPA'!I78="N","N",IF('data input for RPA'!J78="N",'data input for RPA'!L78,'data input for RPA'!K78)))</f>
      </c>
      <c r="U83">
        <f t="shared" si="32"/>
      </c>
      <c r="V83">
        <f t="shared" si="33"/>
      </c>
      <c r="W83">
        <f t="shared" si="31"/>
      </c>
      <c r="Y83">
        <f t="shared" si="43"/>
      </c>
      <c r="Z83">
        <f t="shared" si="37"/>
      </c>
      <c r="AA83">
        <f t="shared" si="44"/>
      </c>
      <c r="AB83">
        <f t="shared" si="38"/>
      </c>
      <c r="AC83">
        <f t="shared" si="45"/>
      </c>
      <c r="AD83">
        <f t="shared" si="46"/>
      </c>
      <c r="AE83">
        <f t="shared" si="35"/>
      </c>
      <c r="AF83">
        <f t="shared" si="36"/>
      </c>
      <c r="AG83">
        <f t="shared" si="47"/>
      </c>
      <c r="AH83">
        <f t="shared" si="39"/>
      </c>
      <c r="AI83">
        <f t="shared" si="34"/>
      </c>
      <c r="AJ83">
        <f aca="true" t="shared" si="52" ref="AJ83:AJ135">IF(AI83="","",EXP(1.645*AH83-0.5*AG83))</f>
      </c>
      <c r="AK83" s="386">
        <f t="shared" si="48"/>
      </c>
      <c r="AL83" s="386">
        <f t="shared" si="49"/>
      </c>
      <c r="AM83" s="408">
        <f t="shared" si="40"/>
      </c>
      <c r="AN83" s="374">
        <f t="shared" si="41"/>
      </c>
      <c r="AO83" s="384">
        <f t="shared" si="50"/>
      </c>
      <c r="AP83" s="381">
        <f t="shared" si="51"/>
      </c>
    </row>
    <row r="84" spans="1:42" ht="12.75">
      <c r="A84" s="223">
        <v>71</v>
      </c>
      <c r="B84" s="224" t="s">
        <v>134</v>
      </c>
      <c r="C84">
        <f>IF(RPA!S77="Y","Y","")</f>
      </c>
      <c r="D84">
        <f>IF(C84="","",IF(Criteria!C83="No Criteria","N",IF(SUM(Criteria!E83:F83)&gt;0,MIN(Criteria!E83:Criteria!F83),"")))</f>
      </c>
      <c r="F84">
        <f>IF(C84="","",IF(Criteria!D83="","N",Criteria!D83))</f>
      </c>
      <c r="I84">
        <f>IF(C84="","",IF(Criteria!F83="","No Acute",Criteria!F83))</f>
      </c>
      <c r="J84">
        <f>IF(C84="","",IF(Criteria!E83="","No Chronic",Criteria!E83))</f>
      </c>
      <c r="R84">
        <f t="shared" si="42"/>
      </c>
      <c r="S84" s="2">
        <f>IF(C84="","",IF('data input for RPA'!I79="N","N",IF('data input for RPA'!J79="N",'data input for RPA'!L79,'data input for RPA'!K79)))</f>
      </c>
      <c r="U84">
        <f t="shared" si="32"/>
      </c>
      <c r="V84">
        <f t="shared" si="33"/>
      </c>
      <c r="W84">
        <f t="shared" si="31"/>
      </c>
      <c r="Y84">
        <f t="shared" si="43"/>
      </c>
      <c r="Z84">
        <f t="shared" si="37"/>
      </c>
      <c r="AA84">
        <f t="shared" si="44"/>
      </c>
      <c r="AB84">
        <f t="shared" si="38"/>
      </c>
      <c r="AC84">
        <f t="shared" si="45"/>
      </c>
      <c r="AD84">
        <f t="shared" si="46"/>
      </c>
      <c r="AE84">
        <f t="shared" si="35"/>
      </c>
      <c r="AF84">
        <f t="shared" si="36"/>
      </c>
      <c r="AG84">
        <f t="shared" si="47"/>
      </c>
      <c r="AH84">
        <f t="shared" si="39"/>
      </c>
      <c r="AI84">
        <f t="shared" si="34"/>
      </c>
      <c r="AJ84">
        <f t="shared" si="52"/>
      </c>
      <c r="AK84" s="386">
        <f t="shared" si="48"/>
      </c>
      <c r="AL84" s="386">
        <f t="shared" si="49"/>
      </c>
      <c r="AM84" s="408">
        <f t="shared" si="40"/>
      </c>
      <c r="AN84" s="374">
        <f t="shared" si="41"/>
      </c>
      <c r="AO84" s="384">
        <f t="shared" si="50"/>
      </c>
      <c r="AP84" s="381">
        <f t="shared" si="51"/>
      </c>
    </row>
    <row r="85" spans="1:42" ht="12.75">
      <c r="A85" s="223">
        <v>72</v>
      </c>
      <c r="B85" s="224" t="s">
        <v>135</v>
      </c>
      <c r="C85">
        <f>IF(RPA!S78="Y","Y","")</f>
      </c>
      <c r="D85">
        <f>IF(C85="","",IF(Criteria!C84="No Criteria","N",IF(SUM(Criteria!E84:F84)&gt;0,MIN(Criteria!E84:Criteria!F84),"")))</f>
      </c>
      <c r="F85">
        <f>IF(C85="","",IF(Criteria!D84="","N",Criteria!D84))</f>
      </c>
      <c r="I85">
        <f>IF(C85="","",IF(Criteria!F84="","No Acute",Criteria!F84))</f>
      </c>
      <c r="J85">
        <f>IF(C85="","",IF(Criteria!E84="","No Chronic",Criteria!E84))</f>
      </c>
      <c r="R85">
        <f t="shared" si="42"/>
      </c>
      <c r="S85" s="2">
        <f>IF(C85="","",IF('data input for RPA'!I80="N","N",IF('data input for RPA'!J80="N",'data input for RPA'!L80,'data input for RPA'!K80)))</f>
      </c>
      <c r="U85">
        <f t="shared" si="32"/>
      </c>
      <c r="V85">
        <f t="shared" si="33"/>
      </c>
      <c r="W85">
        <f aca="true" t="shared" si="53" ref="W85:W136">IF(C85="","",IF(F85="N","No HH Criteria",IF(S85="N","No Background",IF(H85="Y",IF(F85&gt;T85,F85+$D$1*(F85-T85),F85),IF(F85&gt;S85,F85+$D$1*(F85-S85),F85)))))</f>
      </c>
      <c r="Y85">
        <f t="shared" si="43"/>
      </c>
      <c r="Z85">
        <f t="shared" si="37"/>
      </c>
      <c r="AA85">
        <f t="shared" si="44"/>
      </c>
      <c r="AB85">
        <f t="shared" si="38"/>
      </c>
      <c r="AC85">
        <f t="shared" si="45"/>
      </c>
      <c r="AD85">
        <f t="shared" si="46"/>
      </c>
      <c r="AE85">
        <f t="shared" si="35"/>
      </c>
      <c r="AF85">
        <f t="shared" si="36"/>
      </c>
      <c r="AG85">
        <f t="shared" si="47"/>
      </c>
      <c r="AH85">
        <f t="shared" si="39"/>
      </c>
      <c r="AI85">
        <f t="shared" si="34"/>
      </c>
      <c r="AJ85">
        <f t="shared" si="52"/>
      </c>
      <c r="AK85" s="386">
        <f t="shared" si="48"/>
      </c>
      <c r="AL85" s="386">
        <f t="shared" si="49"/>
      </c>
      <c r="AM85" s="408">
        <f t="shared" si="40"/>
      </c>
      <c r="AN85" s="374">
        <f t="shared" si="41"/>
      </c>
      <c r="AO85" s="384">
        <f t="shared" si="50"/>
      </c>
      <c r="AP85" s="381">
        <f t="shared" si="51"/>
      </c>
    </row>
    <row r="86" spans="1:42" ht="12.75">
      <c r="A86" s="223">
        <v>73</v>
      </c>
      <c r="B86" s="224" t="s">
        <v>136</v>
      </c>
      <c r="C86">
        <f>IF(RPA!S79="Y","Y","")</f>
      </c>
      <c r="D86">
        <f>IF(C86="","",IF(Criteria!C85="No Criteria","N",IF(SUM(Criteria!E85:F85)&gt;0,MIN(Criteria!E85:Criteria!F85),"")))</f>
      </c>
      <c r="F86">
        <f>IF(C86="","",IF(Criteria!D85="","N",Criteria!D85))</f>
      </c>
      <c r="I86">
        <f>IF(C86="","",IF(Criteria!F85="","No Acute",Criteria!F85))</f>
      </c>
      <c r="J86">
        <f>IF(C86="","",IF(Criteria!E85="","No Chronic",Criteria!E85))</f>
      </c>
      <c r="R86">
        <f t="shared" si="42"/>
      </c>
      <c r="S86" s="2">
        <f>IF(C86="","",IF('data input for RPA'!I81="N","N",IF('data input for RPA'!J81="N",'data input for RPA'!L81,'data input for RPA'!K81)))</f>
      </c>
      <c r="U86">
        <f t="shared" si="32"/>
      </c>
      <c r="V86">
        <f t="shared" si="33"/>
      </c>
      <c r="W86">
        <f t="shared" si="53"/>
      </c>
      <c r="Y86">
        <f t="shared" si="43"/>
      </c>
      <c r="Z86">
        <f t="shared" si="37"/>
      </c>
      <c r="AA86">
        <f t="shared" si="44"/>
      </c>
      <c r="AB86">
        <f t="shared" si="38"/>
      </c>
      <c r="AC86">
        <f t="shared" si="45"/>
      </c>
      <c r="AD86">
        <f t="shared" si="46"/>
      </c>
      <c r="AE86">
        <f t="shared" si="35"/>
      </c>
      <c r="AF86">
        <f t="shared" si="36"/>
      </c>
      <c r="AG86">
        <f t="shared" si="47"/>
      </c>
      <c r="AH86">
        <f t="shared" si="39"/>
      </c>
      <c r="AI86">
        <f t="shared" si="34"/>
      </c>
      <c r="AJ86">
        <f t="shared" si="52"/>
      </c>
      <c r="AK86" s="386">
        <f t="shared" si="48"/>
      </c>
      <c r="AL86" s="386">
        <f t="shared" si="49"/>
      </c>
      <c r="AM86" s="408">
        <f t="shared" si="40"/>
      </c>
      <c r="AN86" s="374">
        <f t="shared" si="41"/>
      </c>
      <c r="AO86" s="384">
        <f t="shared" si="50"/>
      </c>
      <c r="AP86" s="381">
        <f t="shared" si="51"/>
      </c>
    </row>
    <row r="87" spans="1:42" ht="12.75">
      <c r="A87" s="223">
        <v>74</v>
      </c>
      <c r="B87" s="224" t="s">
        <v>137</v>
      </c>
      <c r="C87">
        <f>IF(RPA!S80="Y","Y","")</f>
      </c>
      <c r="D87">
        <f>IF(C87="","",IF(Criteria!C86="No Criteria","N",IF(SUM(Criteria!E86:F86)&gt;0,MIN(Criteria!E86:Criteria!F86),"")))</f>
      </c>
      <c r="F87">
        <f>IF(C87="","",IF(Criteria!D86="","N",Criteria!D86))</f>
      </c>
      <c r="I87">
        <f>IF(C87="","",IF(Criteria!F86="","No Acute",Criteria!F86))</f>
      </c>
      <c r="J87">
        <f>IF(C87="","",IF(Criteria!E86="","No Chronic",Criteria!E86))</f>
      </c>
      <c r="R87">
        <f t="shared" si="42"/>
      </c>
      <c r="S87" s="2">
        <f>IF(C87="","",IF('data input for RPA'!I82="N","N",IF('data input for RPA'!J82="N",'data input for RPA'!L82,'data input for RPA'!K82)))</f>
      </c>
      <c r="U87">
        <f t="shared" si="32"/>
      </c>
      <c r="V87">
        <f t="shared" si="33"/>
      </c>
      <c r="W87">
        <f t="shared" si="53"/>
      </c>
      <c r="Y87">
        <f t="shared" si="43"/>
      </c>
      <c r="Z87">
        <f t="shared" si="37"/>
      </c>
      <c r="AA87">
        <f t="shared" si="44"/>
      </c>
      <c r="AB87">
        <f t="shared" si="38"/>
      </c>
      <c r="AC87">
        <f t="shared" si="45"/>
      </c>
      <c r="AD87">
        <f t="shared" si="46"/>
      </c>
      <c r="AE87">
        <f t="shared" si="35"/>
      </c>
      <c r="AF87">
        <f t="shared" si="36"/>
      </c>
      <c r="AG87">
        <f t="shared" si="47"/>
      </c>
      <c r="AH87">
        <f t="shared" si="39"/>
      </c>
      <c r="AI87">
        <f t="shared" si="34"/>
      </c>
      <c r="AJ87">
        <f t="shared" si="52"/>
      </c>
      <c r="AK87" s="386">
        <f t="shared" si="48"/>
      </c>
      <c r="AL87" s="386">
        <f t="shared" si="49"/>
      </c>
      <c r="AM87" s="408">
        <f t="shared" si="40"/>
      </c>
      <c r="AN87" s="374">
        <f t="shared" si="41"/>
      </c>
      <c r="AO87" s="384">
        <f t="shared" si="50"/>
      </c>
      <c r="AP87" s="381">
        <f t="shared" si="51"/>
      </c>
    </row>
    <row r="88" spans="1:42" ht="12.75">
      <c r="A88" s="223">
        <v>75</v>
      </c>
      <c r="B88" s="224" t="s">
        <v>138</v>
      </c>
      <c r="C88">
        <f>IF(RPA!S81="Y","Y","")</f>
      </c>
      <c r="D88">
        <f>IF(C88="","",IF(Criteria!C87="No Criteria","N",IF(SUM(Criteria!E87:F87)&gt;0,MIN(Criteria!E87:Criteria!F87),"")))</f>
      </c>
      <c r="F88">
        <f>IF(C88="","",IF(Criteria!D87="","N",Criteria!D87))</f>
      </c>
      <c r="I88">
        <f>IF(C88="","",IF(Criteria!F87="","No Acute",Criteria!F87))</f>
      </c>
      <c r="J88">
        <f>IF(C88="","",IF(Criteria!E87="","No Chronic",Criteria!E87))</f>
      </c>
      <c r="R88">
        <f t="shared" si="42"/>
      </c>
      <c r="S88" s="2">
        <f>IF(C88="","",IF('data input for RPA'!I83="N","N",IF('data input for RPA'!J83="N",'data input for RPA'!L83,'data input for RPA'!K83)))</f>
      </c>
      <c r="U88">
        <f t="shared" si="32"/>
      </c>
      <c r="V88">
        <f t="shared" si="33"/>
      </c>
      <c r="W88">
        <f t="shared" si="53"/>
      </c>
      <c r="Y88">
        <f t="shared" si="43"/>
      </c>
      <c r="Z88">
        <f t="shared" si="37"/>
      </c>
      <c r="AA88">
        <f t="shared" si="44"/>
      </c>
      <c r="AB88">
        <f t="shared" si="38"/>
      </c>
      <c r="AC88">
        <f t="shared" si="45"/>
      </c>
      <c r="AD88">
        <f t="shared" si="46"/>
      </c>
      <c r="AE88">
        <f t="shared" si="35"/>
      </c>
      <c r="AF88">
        <f t="shared" si="36"/>
      </c>
      <c r="AG88">
        <f t="shared" si="47"/>
      </c>
      <c r="AH88">
        <f t="shared" si="39"/>
      </c>
      <c r="AI88">
        <f t="shared" si="34"/>
      </c>
      <c r="AJ88">
        <f t="shared" si="52"/>
      </c>
      <c r="AK88" s="386">
        <f t="shared" si="48"/>
      </c>
      <c r="AL88" s="386">
        <f t="shared" si="49"/>
      </c>
      <c r="AM88" s="408">
        <f t="shared" si="40"/>
      </c>
      <c r="AN88" s="374">
        <f t="shared" si="41"/>
      </c>
      <c r="AO88" s="384">
        <f t="shared" si="50"/>
      </c>
      <c r="AP88" s="381">
        <f t="shared" si="51"/>
      </c>
    </row>
    <row r="89" spans="1:42" ht="12.75">
      <c r="A89" s="223">
        <v>76</v>
      </c>
      <c r="B89" s="224" t="s">
        <v>139</v>
      </c>
      <c r="C89">
        <f>IF(RPA!S82="Y","Y","")</f>
      </c>
      <c r="D89">
        <f>IF(C89="","",IF(Criteria!C88="No Criteria","N",IF(SUM(Criteria!E88:F88)&gt;0,MIN(Criteria!E88:Criteria!F88),"")))</f>
      </c>
      <c r="F89">
        <f>IF(C89="","",IF(Criteria!D88="","N",Criteria!D88))</f>
      </c>
      <c r="I89">
        <f>IF(C89="","",IF(Criteria!F88="","No Acute",Criteria!F88))</f>
      </c>
      <c r="J89">
        <f>IF(C89="","",IF(Criteria!E88="","No Chronic",Criteria!E88))</f>
      </c>
      <c r="R89">
        <f t="shared" si="42"/>
      </c>
      <c r="S89" s="2">
        <f>IF(C89="","",IF('data input for RPA'!I84="N","N",IF('data input for RPA'!J84="N",'data input for RPA'!L84,'data input for RPA'!K84)))</f>
      </c>
      <c r="U89">
        <f t="shared" si="32"/>
      </c>
      <c r="V89">
        <f t="shared" si="33"/>
      </c>
      <c r="W89">
        <f t="shared" si="53"/>
      </c>
      <c r="Y89">
        <f t="shared" si="43"/>
      </c>
      <c r="Z89">
        <f t="shared" si="37"/>
      </c>
      <c r="AA89">
        <f t="shared" si="44"/>
      </c>
      <c r="AB89">
        <f t="shared" si="38"/>
      </c>
      <c r="AC89">
        <f t="shared" si="45"/>
      </c>
      <c r="AD89">
        <f t="shared" si="46"/>
      </c>
      <c r="AE89">
        <f t="shared" si="35"/>
      </c>
      <c r="AF89">
        <f t="shared" si="36"/>
      </c>
      <c r="AG89">
        <f t="shared" si="47"/>
      </c>
      <c r="AH89">
        <f t="shared" si="39"/>
      </c>
      <c r="AI89">
        <f t="shared" si="34"/>
      </c>
      <c r="AJ89">
        <f t="shared" si="52"/>
      </c>
      <c r="AK89" s="386">
        <f t="shared" si="48"/>
      </c>
      <c r="AL89" s="386">
        <f t="shared" si="49"/>
      </c>
      <c r="AM89" s="408">
        <f t="shared" si="40"/>
      </c>
      <c r="AN89" s="374">
        <f t="shared" si="41"/>
      </c>
      <c r="AO89" s="384">
        <f t="shared" si="50"/>
      </c>
      <c r="AP89" s="381">
        <f t="shared" si="51"/>
      </c>
    </row>
    <row r="90" spans="1:42" ht="12.75">
      <c r="A90" s="223">
        <v>77</v>
      </c>
      <c r="B90" s="224" t="s">
        <v>140</v>
      </c>
      <c r="C90">
        <f>IF(RPA!S83="Y","Y","")</f>
      </c>
      <c r="D90">
        <f>IF(C90="","",IF(Criteria!C89="No Criteria","N",IF(SUM(Criteria!E89:F89)&gt;0,MIN(Criteria!E89:Criteria!F89),"")))</f>
      </c>
      <c r="F90">
        <f>IF(C90="","",IF(Criteria!D89="","N",Criteria!D89))</f>
      </c>
      <c r="I90">
        <f>IF(C90="","",IF(Criteria!F89="","No Acute",Criteria!F89))</f>
      </c>
      <c r="J90">
        <f>IF(C90="","",IF(Criteria!E89="","No Chronic",Criteria!E89))</f>
      </c>
      <c r="R90">
        <f t="shared" si="42"/>
      </c>
      <c r="S90" s="2">
        <f>IF(C90="","",IF('data input for RPA'!I85="N","N",IF('data input for RPA'!J85="N",'data input for RPA'!L85,'data input for RPA'!K85)))</f>
      </c>
      <c r="U90">
        <f t="shared" si="32"/>
      </c>
      <c r="V90">
        <f t="shared" si="33"/>
      </c>
      <c r="W90">
        <f t="shared" si="53"/>
      </c>
      <c r="Y90">
        <f t="shared" si="43"/>
      </c>
      <c r="Z90">
        <f t="shared" si="37"/>
      </c>
      <c r="AA90">
        <f t="shared" si="44"/>
      </c>
      <c r="AB90">
        <f t="shared" si="38"/>
      </c>
      <c r="AC90">
        <f t="shared" si="45"/>
      </c>
      <c r="AD90">
        <f t="shared" si="46"/>
      </c>
      <c r="AE90">
        <f t="shared" si="35"/>
      </c>
      <c r="AF90">
        <f t="shared" si="36"/>
      </c>
      <c r="AG90">
        <f t="shared" si="47"/>
      </c>
      <c r="AH90">
        <f t="shared" si="39"/>
      </c>
      <c r="AI90">
        <f t="shared" si="34"/>
      </c>
      <c r="AJ90">
        <f t="shared" si="52"/>
      </c>
      <c r="AK90" s="386">
        <f t="shared" si="48"/>
      </c>
      <c r="AL90" s="386">
        <f t="shared" si="49"/>
      </c>
      <c r="AM90" s="408">
        <f t="shared" si="40"/>
      </c>
      <c r="AN90" s="374">
        <f t="shared" si="41"/>
      </c>
      <c r="AO90" s="384">
        <f t="shared" si="50"/>
      </c>
      <c r="AP90" s="381">
        <f t="shared" si="51"/>
      </c>
    </row>
    <row r="91" spans="1:42" ht="12.75">
      <c r="A91" s="223">
        <v>78</v>
      </c>
      <c r="B91" s="224" t="s">
        <v>225</v>
      </c>
      <c r="C91">
        <f>IF(RPA!S84="Y","Y","")</f>
      </c>
      <c r="D91">
        <f>IF(C91="","",IF(Criteria!C90="No Criteria","N",IF(SUM(Criteria!E90:F90)&gt;0,MIN(Criteria!E90:Criteria!F90),"")))</f>
      </c>
      <c r="F91">
        <f>IF(C91="","",IF(Criteria!D90="","N",Criteria!D90))</f>
      </c>
      <c r="I91">
        <f>IF(C91="","",IF(Criteria!F90="","No Acute",Criteria!F90))</f>
      </c>
      <c r="J91">
        <f>IF(C91="","",IF(Criteria!E90="","No Chronic",Criteria!E90))</f>
      </c>
      <c r="R91">
        <f t="shared" si="42"/>
      </c>
      <c r="S91" s="2">
        <f>IF(C91="","",IF('data input for RPA'!I86="N","N",IF('data input for RPA'!J86="N",'data input for RPA'!L86,'data input for RPA'!K86)))</f>
      </c>
      <c r="U91">
        <f aca="true" t="shared" si="54" ref="U91:U135">IF(C91="","",IF(I91="No Acute","",IF($D$1=0,I91,IF(S91="N","No Background",IF(I91&gt;S91,I91+$D$1*(I91-S91))))))</f>
      </c>
      <c r="V91">
        <f aca="true" t="shared" si="55" ref="V91:V135">IF(C91="","",IF(J91="No chronic","",IF($D$1=0,J91,IF(S91="N","No Background",IF(J91&gt;S91,J91+$D$1*(J91-S91),J91)))))</f>
      </c>
      <c r="W91">
        <f t="shared" si="53"/>
      </c>
      <c r="Y91">
        <f t="shared" si="43"/>
      </c>
      <c r="Z91">
        <f t="shared" si="37"/>
      </c>
      <c r="AA91">
        <f t="shared" si="44"/>
      </c>
      <c r="AB91">
        <f t="shared" si="38"/>
      </c>
      <c r="AC91">
        <f t="shared" si="45"/>
      </c>
      <c r="AD91">
        <f t="shared" si="46"/>
      </c>
      <c r="AE91">
        <f t="shared" si="35"/>
      </c>
      <c r="AF91">
        <f t="shared" si="36"/>
      </c>
      <c r="AG91">
        <f t="shared" si="47"/>
      </c>
      <c r="AH91">
        <f t="shared" si="39"/>
      </c>
      <c r="AI91">
        <f t="shared" si="34"/>
      </c>
      <c r="AJ91">
        <f t="shared" si="52"/>
      </c>
      <c r="AK91" s="386">
        <f t="shared" si="48"/>
      </c>
      <c r="AL91" s="386">
        <f t="shared" si="49"/>
      </c>
      <c r="AM91" s="408">
        <f t="shared" si="40"/>
      </c>
      <c r="AN91" s="374">
        <f t="shared" si="41"/>
      </c>
      <c r="AO91" s="384">
        <f t="shared" si="50"/>
      </c>
      <c r="AP91" s="381">
        <f t="shared" si="51"/>
      </c>
    </row>
    <row r="92" spans="1:42" ht="12.75">
      <c r="A92" s="223">
        <v>79</v>
      </c>
      <c r="B92" s="224" t="s">
        <v>142</v>
      </c>
      <c r="C92">
        <f>IF(RPA!S85="Y","Y","")</f>
      </c>
      <c r="D92">
        <f>IF(C92="","",IF(Criteria!C91="No Criteria","N",IF(SUM(Criteria!E91:F91)&gt;0,MIN(Criteria!E91:Criteria!F91),"")))</f>
      </c>
      <c r="F92">
        <f>IF(C92="","",IF(Criteria!D91="","N",Criteria!D91))</f>
      </c>
      <c r="I92">
        <f>IF(C92="","",IF(Criteria!F91="","No Acute",Criteria!F91))</f>
      </c>
      <c r="J92">
        <f>IF(C92="","",IF(Criteria!E91="","No Chronic",Criteria!E91))</f>
      </c>
      <c r="R92">
        <f t="shared" si="42"/>
      </c>
      <c r="S92" s="2">
        <f>IF(C92="","",IF('data input for RPA'!I87="N","N",IF('data input for RPA'!J87="N",'data input for RPA'!L87,'data input for RPA'!K87)))</f>
      </c>
      <c r="U92">
        <f t="shared" si="54"/>
      </c>
      <c r="V92">
        <f t="shared" si="55"/>
      </c>
      <c r="W92">
        <f t="shared" si="53"/>
      </c>
      <c r="Y92">
        <f t="shared" si="43"/>
      </c>
      <c r="Z92">
        <f t="shared" si="37"/>
      </c>
      <c r="AA92">
        <f t="shared" si="44"/>
      </c>
      <c r="AB92">
        <f t="shared" si="38"/>
      </c>
      <c r="AC92">
        <f t="shared" si="45"/>
      </c>
      <c r="AD92">
        <f t="shared" si="46"/>
      </c>
      <c r="AE92">
        <f t="shared" si="35"/>
      </c>
      <c r="AF92">
        <f t="shared" si="36"/>
      </c>
      <c r="AG92">
        <f t="shared" si="47"/>
      </c>
      <c r="AH92">
        <f t="shared" si="39"/>
      </c>
      <c r="AI92">
        <f t="shared" si="34"/>
      </c>
      <c r="AJ92">
        <f t="shared" si="52"/>
      </c>
      <c r="AK92" s="386">
        <f t="shared" si="48"/>
      </c>
      <c r="AL92" s="386">
        <f t="shared" si="49"/>
      </c>
      <c r="AM92" s="408">
        <f t="shared" si="40"/>
      </c>
      <c r="AN92" s="374">
        <f t="shared" si="41"/>
      </c>
      <c r="AO92" s="384">
        <f t="shared" si="50"/>
      </c>
      <c r="AP92" s="381">
        <f t="shared" si="51"/>
      </c>
    </row>
    <row r="93" spans="1:42" ht="12.75">
      <c r="A93" s="223">
        <v>80</v>
      </c>
      <c r="B93" s="224" t="s">
        <v>143</v>
      </c>
      <c r="C93">
        <f>IF(RPA!S86="Y","Y","")</f>
      </c>
      <c r="D93">
        <f>IF(C93="","",IF(Criteria!C92="No Criteria","N",IF(SUM(Criteria!E92:F92)&gt;0,MIN(Criteria!E92:Criteria!F92),"")))</f>
      </c>
      <c r="F93">
        <f>IF(C93="","",IF(Criteria!D92="","N",Criteria!D92))</f>
      </c>
      <c r="I93">
        <f>IF(C93="","",IF(Criteria!F92="","No Acute",Criteria!F92))</f>
      </c>
      <c r="J93">
        <f>IF(C93="","",IF(Criteria!E92="","No Chronic",Criteria!E92))</f>
      </c>
      <c r="R93">
        <f t="shared" si="42"/>
      </c>
      <c r="S93" s="2">
        <f>IF(C93="","",IF('data input for RPA'!I88="N","N",IF('data input for RPA'!J88="N",'data input for RPA'!L88,'data input for RPA'!K88)))</f>
      </c>
      <c r="U93">
        <f t="shared" si="54"/>
      </c>
      <c r="V93">
        <f t="shared" si="55"/>
      </c>
      <c r="W93">
        <f t="shared" si="53"/>
      </c>
      <c r="Y93">
        <f t="shared" si="43"/>
      </c>
      <c r="Z93">
        <f t="shared" si="37"/>
      </c>
      <c r="AA93">
        <f t="shared" si="44"/>
      </c>
      <c r="AB93">
        <f t="shared" si="38"/>
      </c>
      <c r="AC93">
        <f t="shared" si="45"/>
      </c>
      <c r="AD93">
        <f t="shared" si="46"/>
      </c>
      <c r="AE93">
        <f t="shared" si="35"/>
      </c>
      <c r="AF93">
        <f t="shared" si="36"/>
      </c>
      <c r="AG93">
        <f t="shared" si="47"/>
      </c>
      <c r="AH93">
        <f t="shared" si="39"/>
      </c>
      <c r="AI93">
        <f t="shared" si="34"/>
      </c>
      <c r="AJ93">
        <f t="shared" si="52"/>
      </c>
      <c r="AK93" s="386">
        <f t="shared" si="48"/>
      </c>
      <c r="AL93" s="386">
        <f t="shared" si="49"/>
      </c>
      <c r="AM93" s="408">
        <f t="shared" si="40"/>
      </c>
      <c r="AN93" s="374">
        <f t="shared" si="41"/>
      </c>
      <c r="AO93" s="384">
        <f t="shared" si="50"/>
      </c>
      <c r="AP93" s="381">
        <f t="shared" si="51"/>
      </c>
    </row>
    <row r="94" spans="1:42" ht="12.75">
      <c r="A94" s="223">
        <v>81</v>
      </c>
      <c r="B94" s="224" t="s">
        <v>144</v>
      </c>
      <c r="C94">
        <f>IF(RPA!S87="Y","Y","")</f>
      </c>
      <c r="D94">
        <f>IF(C94="","",IF(Criteria!C93="No Criteria","N",IF(SUM(Criteria!E93:F93)&gt;0,MIN(Criteria!E93:Criteria!F93),"")))</f>
      </c>
      <c r="F94">
        <f>IF(C94="","",IF(Criteria!D93="","N",Criteria!D93))</f>
      </c>
      <c r="I94">
        <f>IF(C94="","",IF(Criteria!F93="","No Acute",Criteria!F93))</f>
      </c>
      <c r="J94">
        <f>IF(C94="","",IF(Criteria!E93="","No Chronic",Criteria!E93))</f>
      </c>
      <c r="R94">
        <f t="shared" si="42"/>
      </c>
      <c r="S94" s="2">
        <f>IF(C94="","",IF('data input for RPA'!I89="N","N",IF('data input for RPA'!J89="N",'data input for RPA'!L89,'data input for RPA'!K89)))</f>
      </c>
      <c r="U94">
        <f t="shared" si="54"/>
      </c>
      <c r="V94">
        <f t="shared" si="55"/>
      </c>
      <c r="W94">
        <f t="shared" si="53"/>
      </c>
      <c r="Y94">
        <f t="shared" si="43"/>
      </c>
      <c r="Z94">
        <f t="shared" si="37"/>
      </c>
      <c r="AA94">
        <f t="shared" si="44"/>
      </c>
      <c r="AB94">
        <f t="shared" si="38"/>
      </c>
      <c r="AC94">
        <f t="shared" si="45"/>
      </c>
      <c r="AD94">
        <f t="shared" si="46"/>
      </c>
      <c r="AE94">
        <f t="shared" si="35"/>
      </c>
      <c r="AF94">
        <f t="shared" si="36"/>
      </c>
      <c r="AG94">
        <f t="shared" si="47"/>
      </c>
      <c r="AH94">
        <f t="shared" si="39"/>
      </c>
      <c r="AI94">
        <f aca="true" t="shared" si="56" ref="AI94:AI144">IF(C94="","",EXP(2.326*Z94-0.5*Y94))</f>
      </c>
      <c r="AJ94">
        <f t="shared" si="52"/>
      </c>
      <c r="AK94" s="386">
        <f t="shared" si="48"/>
      </c>
      <c r="AL94" s="386">
        <f t="shared" si="49"/>
      </c>
      <c r="AM94" s="408">
        <f t="shared" si="40"/>
      </c>
      <c r="AN94" s="374">
        <f t="shared" si="41"/>
      </c>
      <c r="AO94" s="384">
        <f t="shared" si="50"/>
      </c>
      <c r="AP94" s="381">
        <f t="shared" si="51"/>
      </c>
    </row>
    <row r="95" spans="1:42" ht="12.75">
      <c r="A95" s="223">
        <v>82</v>
      </c>
      <c r="B95" s="224" t="s">
        <v>145</v>
      </c>
      <c r="C95">
        <f>IF(RPA!S88="Y","Y","")</f>
      </c>
      <c r="D95">
        <f>IF(C95="","",IF(Criteria!C94="No Criteria","N",IF(SUM(Criteria!E94:F94)&gt;0,MIN(Criteria!E94:Criteria!F94),"")))</f>
      </c>
      <c r="F95">
        <f>IF(C95="","",IF(Criteria!D94="","N",Criteria!D94))</f>
      </c>
      <c r="I95">
        <f>IF(C95="","",IF(Criteria!F94="","No Acute",Criteria!F94))</f>
      </c>
      <c r="J95">
        <f>IF(C95="","",IF(Criteria!E94="","No Chronic",Criteria!E94))</f>
      </c>
      <c r="R95">
        <f t="shared" si="42"/>
      </c>
      <c r="S95" s="2">
        <f>IF(C95="","",IF('data input for RPA'!I90="N","N",IF('data input for RPA'!J90="N",'data input for RPA'!L90,'data input for RPA'!K90)))</f>
      </c>
      <c r="U95">
        <f t="shared" si="54"/>
      </c>
      <c r="V95">
        <f t="shared" si="55"/>
      </c>
      <c r="W95">
        <f t="shared" si="53"/>
      </c>
      <c r="Y95">
        <f t="shared" si="43"/>
      </c>
      <c r="Z95">
        <f t="shared" si="37"/>
      </c>
      <c r="AA95">
        <f t="shared" si="44"/>
      </c>
      <c r="AB95">
        <f t="shared" si="38"/>
      </c>
      <c r="AC95">
        <f t="shared" si="45"/>
      </c>
      <c r="AD95">
        <f t="shared" si="46"/>
      </c>
      <c r="AE95">
        <f t="shared" si="35"/>
      </c>
      <c r="AF95">
        <f t="shared" si="36"/>
      </c>
      <c r="AG95">
        <f t="shared" si="47"/>
      </c>
      <c r="AH95">
        <f t="shared" si="39"/>
      </c>
      <c r="AI95">
        <f t="shared" si="56"/>
      </c>
      <c r="AJ95">
        <f t="shared" si="52"/>
      </c>
      <c r="AK95" s="386">
        <f t="shared" si="48"/>
      </c>
      <c r="AL95" s="386">
        <f t="shared" si="49"/>
      </c>
      <c r="AM95" s="408">
        <f t="shared" si="40"/>
      </c>
      <c r="AN95" s="374">
        <f t="shared" si="41"/>
      </c>
      <c r="AO95" s="384">
        <f t="shared" si="50"/>
      </c>
      <c r="AP95" s="381">
        <f t="shared" si="51"/>
      </c>
    </row>
    <row r="96" spans="1:42" ht="12.75">
      <c r="A96" s="223">
        <v>83</v>
      </c>
      <c r="B96" s="224" t="s">
        <v>146</v>
      </c>
      <c r="C96">
        <f>IF(RPA!S89="Y","Y","")</f>
      </c>
      <c r="D96">
        <f>IF(C96="","",IF(Criteria!C95="No Criteria","N",IF(SUM(Criteria!E95:F95)&gt;0,MIN(Criteria!E95:Criteria!F95),"")))</f>
      </c>
      <c r="F96">
        <f>IF(C96="","",IF(Criteria!D95="","N",Criteria!D95))</f>
      </c>
      <c r="I96">
        <f>IF(C96="","",IF(Criteria!F95="","No Acute",Criteria!F95))</f>
      </c>
      <c r="J96">
        <f>IF(C96="","",IF(Criteria!E95="","No Chronic",Criteria!E95))</f>
      </c>
      <c r="R96">
        <f t="shared" si="42"/>
      </c>
      <c r="S96" s="2">
        <f>IF(C96="","",IF('data input for RPA'!I91="N","N",IF('data input for RPA'!J91="N",'data input for RPA'!L91,'data input for RPA'!K91)))</f>
      </c>
      <c r="U96">
        <f t="shared" si="54"/>
      </c>
      <c r="V96">
        <f t="shared" si="55"/>
      </c>
      <c r="W96">
        <f t="shared" si="53"/>
      </c>
      <c r="Y96">
        <f t="shared" si="43"/>
      </c>
      <c r="Z96">
        <f t="shared" si="37"/>
      </c>
      <c r="AA96">
        <f t="shared" si="44"/>
      </c>
      <c r="AB96">
        <f t="shared" si="38"/>
      </c>
      <c r="AC96">
        <f t="shared" si="45"/>
      </c>
      <c r="AD96">
        <f t="shared" si="46"/>
      </c>
      <c r="AE96">
        <f t="shared" si="35"/>
      </c>
      <c r="AF96">
        <f t="shared" si="36"/>
      </c>
      <c r="AG96">
        <f t="shared" si="47"/>
      </c>
      <c r="AH96">
        <f t="shared" si="39"/>
      </c>
      <c r="AI96">
        <f t="shared" si="56"/>
      </c>
      <c r="AJ96">
        <f t="shared" si="52"/>
      </c>
      <c r="AK96" s="386">
        <f t="shared" si="48"/>
      </c>
      <c r="AL96" s="386">
        <f t="shared" si="49"/>
      </c>
      <c r="AM96" s="408">
        <f t="shared" si="40"/>
      </c>
      <c r="AN96" s="374">
        <f t="shared" si="41"/>
      </c>
      <c r="AO96" s="384">
        <f t="shared" si="50"/>
      </c>
      <c r="AP96" s="381">
        <f t="shared" si="51"/>
      </c>
    </row>
    <row r="97" spans="1:42" ht="12.75">
      <c r="A97" s="223">
        <v>84</v>
      </c>
      <c r="B97" s="224" t="s">
        <v>147</v>
      </c>
      <c r="C97">
        <f>IF(RPA!S90="Y","Y","")</f>
      </c>
      <c r="D97">
        <f>IF(C97="","",IF(Criteria!C96="No Criteria","N",IF(SUM(Criteria!E96:F96)&gt;0,MIN(Criteria!E96:Criteria!F96),"")))</f>
      </c>
      <c r="F97">
        <f>IF(C97="","",IF(Criteria!D96="","N",Criteria!D96))</f>
      </c>
      <c r="I97">
        <f>IF(C97="","",IF(Criteria!F96="","No Acute",Criteria!F96))</f>
      </c>
      <c r="J97">
        <f>IF(C97="","",IF(Criteria!E96="","No Chronic",Criteria!E96))</f>
      </c>
      <c r="R97">
        <f t="shared" si="42"/>
      </c>
      <c r="S97" s="2">
        <f>IF(C97="","",IF('data input for RPA'!I92="N","N",IF('data input for RPA'!J92="N",'data input for RPA'!L92,'data input for RPA'!K92)))</f>
      </c>
      <c r="U97">
        <f t="shared" si="54"/>
      </c>
      <c r="V97">
        <f t="shared" si="55"/>
      </c>
      <c r="W97">
        <f t="shared" si="53"/>
      </c>
      <c r="Y97">
        <f t="shared" si="43"/>
      </c>
      <c r="Z97">
        <f t="shared" si="37"/>
      </c>
      <c r="AA97">
        <f t="shared" si="44"/>
      </c>
      <c r="AB97">
        <f t="shared" si="38"/>
      </c>
      <c r="AC97">
        <f t="shared" si="45"/>
      </c>
      <c r="AD97">
        <f t="shared" si="46"/>
      </c>
      <c r="AE97">
        <f t="shared" si="35"/>
      </c>
      <c r="AF97">
        <f t="shared" si="36"/>
      </c>
      <c r="AG97">
        <f t="shared" si="47"/>
      </c>
      <c r="AH97">
        <f t="shared" si="39"/>
      </c>
      <c r="AI97">
        <f t="shared" si="56"/>
      </c>
      <c r="AJ97">
        <f t="shared" si="52"/>
      </c>
      <c r="AK97" s="386">
        <f t="shared" si="48"/>
      </c>
      <c r="AL97" s="386">
        <f t="shared" si="49"/>
      </c>
      <c r="AM97" s="408">
        <f t="shared" si="40"/>
      </c>
      <c r="AN97" s="374">
        <f t="shared" si="41"/>
      </c>
      <c r="AO97" s="384">
        <f t="shared" si="50"/>
      </c>
      <c r="AP97" s="381">
        <f t="shared" si="51"/>
      </c>
    </row>
    <row r="98" spans="1:42" ht="12.75">
      <c r="A98" s="223">
        <v>85</v>
      </c>
      <c r="B98" s="224" t="s">
        <v>148</v>
      </c>
      <c r="C98">
        <f>IF(RPA!S91="Y","Y","")</f>
      </c>
      <c r="D98">
        <f>IF(C98="","",IF(Criteria!C97="No Criteria","N",IF(SUM(Criteria!E97:F97)&gt;0,MIN(Criteria!E97:Criteria!F97),"")))</f>
      </c>
      <c r="F98">
        <f>IF(C98="","",IF(Criteria!D97="","N",Criteria!D97))</f>
      </c>
      <c r="I98">
        <f>IF(C98="","",IF(Criteria!F97="","No Acute",Criteria!F97))</f>
      </c>
      <c r="J98">
        <f>IF(C98="","",IF(Criteria!E97="","No Chronic",Criteria!E97))</f>
      </c>
      <c r="R98">
        <f t="shared" si="42"/>
      </c>
      <c r="S98" s="2">
        <f>IF(C98="","",IF('data input for RPA'!I93="N","N",IF('data input for RPA'!J93="N",'data input for RPA'!L93,'data input for RPA'!K93)))</f>
      </c>
      <c r="U98">
        <f t="shared" si="54"/>
      </c>
      <c r="V98">
        <f t="shared" si="55"/>
      </c>
      <c r="W98">
        <f t="shared" si="53"/>
      </c>
      <c r="Y98">
        <f t="shared" si="43"/>
      </c>
      <c r="Z98">
        <f t="shared" si="37"/>
      </c>
      <c r="AA98">
        <f t="shared" si="44"/>
      </c>
      <c r="AB98">
        <f t="shared" si="38"/>
      </c>
      <c r="AC98">
        <f t="shared" si="45"/>
      </c>
      <c r="AD98">
        <f t="shared" si="46"/>
      </c>
      <c r="AE98">
        <f t="shared" si="35"/>
      </c>
      <c r="AF98">
        <f t="shared" si="36"/>
      </c>
      <c r="AG98">
        <f t="shared" si="47"/>
      </c>
      <c r="AH98">
        <f t="shared" si="39"/>
      </c>
      <c r="AI98">
        <f t="shared" si="56"/>
      </c>
      <c r="AJ98">
        <f t="shared" si="52"/>
      </c>
      <c r="AK98" s="386">
        <f t="shared" si="48"/>
      </c>
      <c r="AL98" s="386">
        <f t="shared" si="49"/>
      </c>
      <c r="AM98" s="408">
        <f t="shared" si="40"/>
      </c>
      <c r="AN98" s="374">
        <f t="shared" si="41"/>
      </c>
      <c r="AO98" s="384">
        <f t="shared" si="50"/>
      </c>
      <c r="AP98" s="381">
        <f t="shared" si="51"/>
      </c>
    </row>
    <row r="99" spans="1:42" ht="12.75">
      <c r="A99" s="223">
        <v>86</v>
      </c>
      <c r="B99" s="224" t="s">
        <v>149</v>
      </c>
      <c r="C99">
        <f>IF(RPA!S92="Y","Y","")</f>
      </c>
      <c r="D99">
        <f>IF(C99="","",IF(Criteria!C98="No Criteria","N",IF(SUM(Criteria!E98:F98)&gt;0,MIN(Criteria!E98:Criteria!F98),"")))</f>
      </c>
      <c r="F99">
        <f>IF(C99="","",IF(Criteria!D98="","N",Criteria!D98))</f>
      </c>
      <c r="I99">
        <f>IF(C99="","",IF(Criteria!F98="","No Acute",Criteria!F98))</f>
      </c>
      <c r="J99">
        <f>IF(C99="","",IF(Criteria!E98="","No Chronic",Criteria!E98))</f>
      </c>
      <c r="R99">
        <f t="shared" si="42"/>
      </c>
      <c r="S99" s="2">
        <f>IF(C99="","",IF('data input for RPA'!I94="N","N",IF('data input for RPA'!J94="N",'data input for RPA'!L94,'data input for RPA'!K94)))</f>
      </c>
      <c r="U99">
        <f t="shared" si="54"/>
      </c>
      <c r="V99">
        <f t="shared" si="55"/>
      </c>
      <c r="W99">
        <f t="shared" si="53"/>
      </c>
      <c r="Y99">
        <f t="shared" si="43"/>
      </c>
      <c r="Z99">
        <f t="shared" si="37"/>
      </c>
      <c r="AA99">
        <f t="shared" si="44"/>
      </c>
      <c r="AB99">
        <f t="shared" si="38"/>
      </c>
      <c r="AC99">
        <f t="shared" si="45"/>
      </c>
      <c r="AD99">
        <f t="shared" si="46"/>
      </c>
      <c r="AE99">
        <f t="shared" si="35"/>
      </c>
      <c r="AF99">
        <f t="shared" si="36"/>
      </c>
      <c r="AG99">
        <f t="shared" si="47"/>
      </c>
      <c r="AH99">
        <f t="shared" si="39"/>
      </c>
      <c r="AI99">
        <f t="shared" si="56"/>
      </c>
      <c r="AJ99">
        <f t="shared" si="52"/>
      </c>
      <c r="AK99" s="386">
        <f t="shared" si="48"/>
      </c>
      <c r="AL99" s="386">
        <f t="shared" si="49"/>
      </c>
      <c r="AM99" s="408">
        <f t="shared" si="40"/>
      </c>
      <c r="AN99" s="374">
        <f t="shared" si="41"/>
      </c>
      <c r="AO99" s="384">
        <f t="shared" si="50"/>
      </c>
      <c r="AP99" s="381">
        <f t="shared" si="51"/>
      </c>
    </row>
    <row r="100" spans="1:42" ht="12.75">
      <c r="A100" s="223">
        <v>87</v>
      </c>
      <c r="B100" s="224" t="s">
        <v>150</v>
      </c>
      <c r="C100">
        <f>IF(RPA!S93="Y","Y","")</f>
      </c>
      <c r="D100">
        <f>IF(C100="","",IF(Criteria!C99="No Criteria","N",IF(SUM(Criteria!E99:F99)&gt;0,MIN(Criteria!E99:Criteria!F99),"")))</f>
      </c>
      <c r="F100">
        <f>IF(C100="","",IF(Criteria!D99="","N",Criteria!D99))</f>
      </c>
      <c r="I100">
        <f>IF(C100="","",IF(Criteria!F99="","No Acute",Criteria!F99))</f>
      </c>
      <c r="J100">
        <f>IF(C100="","",IF(Criteria!E99="","No Chronic",Criteria!E99))</f>
      </c>
      <c r="R100">
        <f t="shared" si="42"/>
      </c>
      <c r="S100" s="2">
        <f>IF(C100="","",IF('data input for RPA'!I95="N","N",IF('data input for RPA'!J95="N",'data input for RPA'!L95,'data input for RPA'!K95)))</f>
      </c>
      <c r="U100">
        <f t="shared" si="54"/>
      </c>
      <c r="V100">
        <f t="shared" si="55"/>
      </c>
      <c r="W100">
        <f t="shared" si="53"/>
      </c>
      <c r="Y100">
        <f t="shared" si="43"/>
      </c>
      <c r="Z100">
        <f t="shared" si="37"/>
      </c>
      <c r="AA100">
        <f t="shared" si="44"/>
      </c>
      <c r="AB100">
        <f t="shared" si="38"/>
      </c>
      <c r="AC100">
        <f t="shared" si="45"/>
      </c>
      <c r="AD100">
        <f t="shared" si="46"/>
      </c>
      <c r="AE100">
        <f t="shared" si="35"/>
      </c>
      <c r="AF100">
        <f t="shared" si="36"/>
      </c>
      <c r="AG100">
        <f t="shared" si="47"/>
      </c>
      <c r="AH100">
        <f t="shared" si="39"/>
      </c>
      <c r="AI100">
        <f t="shared" si="56"/>
      </c>
      <c r="AJ100">
        <f t="shared" si="52"/>
      </c>
      <c r="AK100" s="386">
        <f t="shared" si="48"/>
      </c>
      <c r="AL100" s="386">
        <f t="shared" si="49"/>
      </c>
      <c r="AM100" s="408">
        <f t="shared" si="40"/>
      </c>
      <c r="AN100" s="374">
        <f t="shared" si="41"/>
      </c>
      <c r="AO100" s="384">
        <f t="shared" si="50"/>
      </c>
      <c r="AP100" s="381">
        <f t="shared" si="51"/>
      </c>
    </row>
    <row r="101" spans="1:42" ht="12.75">
      <c r="A101" s="223">
        <v>88</v>
      </c>
      <c r="B101" s="224" t="s">
        <v>151</v>
      </c>
      <c r="C101">
        <f>IF(RPA!S94="Y","Y","")</f>
      </c>
      <c r="D101">
        <f>IF(C101="","",IF(Criteria!C100="No Criteria","N",IF(SUM(Criteria!E100:F100)&gt;0,MIN(Criteria!E100:Criteria!F100),"")))</f>
      </c>
      <c r="F101">
        <f>IF(C101="","",IF(Criteria!D100="","N",Criteria!D100))</f>
      </c>
      <c r="I101">
        <f>IF(C101="","",IF(Criteria!F100="","No Acute",Criteria!F100))</f>
      </c>
      <c r="J101">
        <f>IF(C101="","",IF(Criteria!E100="","No Chronic",Criteria!E100))</f>
      </c>
      <c r="R101">
        <f t="shared" si="42"/>
      </c>
      <c r="S101" s="2">
        <f>IF(C101="","",IF('data input for RPA'!I96="N","N",IF('data input for RPA'!J96="N",'data input for RPA'!L96,'data input for RPA'!K96)))</f>
      </c>
      <c r="U101">
        <f t="shared" si="54"/>
      </c>
      <c r="V101">
        <f t="shared" si="55"/>
      </c>
      <c r="W101">
        <f t="shared" si="53"/>
      </c>
      <c r="Y101">
        <f t="shared" si="43"/>
      </c>
      <c r="Z101">
        <f t="shared" si="37"/>
      </c>
      <c r="AA101">
        <f t="shared" si="44"/>
      </c>
      <c r="AB101">
        <f t="shared" si="38"/>
      </c>
      <c r="AC101">
        <f t="shared" si="45"/>
      </c>
      <c r="AD101">
        <f t="shared" si="46"/>
      </c>
      <c r="AE101">
        <f t="shared" si="35"/>
      </c>
      <c r="AF101">
        <f t="shared" si="36"/>
      </c>
      <c r="AG101">
        <f t="shared" si="47"/>
      </c>
      <c r="AH101">
        <f t="shared" si="39"/>
      </c>
      <c r="AI101">
        <f t="shared" si="56"/>
      </c>
      <c r="AJ101">
        <f t="shared" si="52"/>
      </c>
      <c r="AK101" s="386">
        <f t="shared" si="48"/>
      </c>
      <c r="AL101" s="386">
        <f t="shared" si="49"/>
      </c>
      <c r="AM101" s="408">
        <f t="shared" si="40"/>
      </c>
      <c r="AN101" s="374">
        <f t="shared" si="41"/>
      </c>
      <c r="AO101" s="384">
        <f t="shared" si="50"/>
      </c>
      <c r="AP101" s="381">
        <f t="shared" si="51"/>
      </c>
    </row>
    <row r="102" spans="1:42" ht="12.75">
      <c r="A102" s="223">
        <v>89</v>
      </c>
      <c r="B102" s="224" t="s">
        <v>152</v>
      </c>
      <c r="C102">
        <f>IF(RPA!S95="Y","Y","")</f>
      </c>
      <c r="D102">
        <f>IF(C102="","",IF(Criteria!C101="No Criteria","N",IF(SUM(Criteria!E101:F101)&gt;0,MIN(Criteria!E101:Criteria!F101),"")))</f>
      </c>
      <c r="F102">
        <f>IF(C102="","",IF(Criteria!D101="","N",Criteria!D101))</f>
      </c>
      <c r="I102">
        <f>IF(C102="","",IF(Criteria!F101="","No Acute",Criteria!F101))</f>
      </c>
      <c r="J102">
        <f>IF(C102="","",IF(Criteria!E101="","No Chronic",Criteria!E101))</f>
      </c>
      <c r="R102">
        <f t="shared" si="42"/>
      </c>
      <c r="S102" s="2">
        <f>IF(C102="","",IF('data input for RPA'!I97="N","N",IF('data input for RPA'!J97="N",'data input for RPA'!L97,'data input for RPA'!K97)))</f>
      </c>
      <c r="U102">
        <f t="shared" si="54"/>
      </c>
      <c r="V102">
        <f t="shared" si="55"/>
      </c>
      <c r="W102">
        <f t="shared" si="53"/>
      </c>
      <c r="Y102">
        <f t="shared" si="43"/>
      </c>
      <c r="Z102">
        <f t="shared" si="37"/>
      </c>
      <c r="AA102">
        <f t="shared" si="44"/>
      </c>
      <c r="AB102">
        <f t="shared" si="38"/>
      </c>
      <c r="AC102">
        <f t="shared" si="45"/>
      </c>
      <c r="AD102">
        <f t="shared" si="46"/>
      </c>
      <c r="AE102">
        <f t="shared" si="35"/>
      </c>
      <c r="AF102">
        <f t="shared" si="36"/>
      </c>
      <c r="AG102">
        <f t="shared" si="47"/>
      </c>
      <c r="AH102">
        <f t="shared" si="39"/>
      </c>
      <c r="AI102">
        <f t="shared" si="56"/>
      </c>
      <c r="AJ102">
        <f t="shared" si="52"/>
      </c>
      <c r="AK102" s="386">
        <f t="shared" si="48"/>
      </c>
      <c r="AL102" s="386">
        <f t="shared" si="49"/>
      </c>
      <c r="AM102" s="408">
        <f t="shared" si="40"/>
      </c>
      <c r="AN102" s="374">
        <f t="shared" si="41"/>
      </c>
      <c r="AO102" s="384">
        <f t="shared" si="50"/>
      </c>
      <c r="AP102" s="381">
        <f t="shared" si="51"/>
      </c>
    </row>
    <row r="103" spans="1:42" ht="12.75">
      <c r="A103" s="223">
        <v>90</v>
      </c>
      <c r="B103" s="224" t="s">
        <v>153</v>
      </c>
      <c r="C103">
        <f>IF(RPA!S96="Y","Y","")</f>
      </c>
      <c r="D103">
        <f>IF(C103="","",IF(Criteria!C102="No Criteria","N",IF(SUM(Criteria!E102:F102)&gt;0,MIN(Criteria!E102:Criteria!F102),"")))</f>
      </c>
      <c r="F103">
        <f>IF(C103="","",IF(Criteria!D102="","N",Criteria!D102))</f>
      </c>
      <c r="I103">
        <f>IF(C103="","",IF(Criteria!F102="","No Acute",Criteria!F102))</f>
      </c>
      <c r="J103">
        <f>IF(C103="","",IF(Criteria!E102="","No Chronic",Criteria!E102))</f>
      </c>
      <c r="R103">
        <f t="shared" si="42"/>
      </c>
      <c r="S103" s="2">
        <f>IF(C103="","",IF('data input for RPA'!I98="N","N",IF('data input for RPA'!J98="N",'data input for RPA'!L98,'data input for RPA'!K98)))</f>
      </c>
      <c r="U103">
        <f t="shared" si="54"/>
      </c>
      <c r="V103">
        <f t="shared" si="55"/>
      </c>
      <c r="W103">
        <f t="shared" si="53"/>
      </c>
      <c r="Y103">
        <f t="shared" si="43"/>
      </c>
      <c r="Z103">
        <f t="shared" si="37"/>
      </c>
      <c r="AA103">
        <f t="shared" si="44"/>
      </c>
      <c r="AB103">
        <f t="shared" si="38"/>
      </c>
      <c r="AC103">
        <f t="shared" si="45"/>
      </c>
      <c r="AD103">
        <f t="shared" si="46"/>
      </c>
      <c r="AE103">
        <f t="shared" si="35"/>
      </c>
      <c r="AF103">
        <f t="shared" si="36"/>
      </c>
      <c r="AG103">
        <f t="shared" si="47"/>
      </c>
      <c r="AH103">
        <f t="shared" si="39"/>
      </c>
      <c r="AI103">
        <f t="shared" si="56"/>
      </c>
      <c r="AJ103">
        <f t="shared" si="52"/>
      </c>
      <c r="AK103" s="386">
        <f t="shared" si="48"/>
      </c>
      <c r="AL103" s="386">
        <f t="shared" si="49"/>
      </c>
      <c r="AM103" s="408">
        <f t="shared" si="40"/>
      </c>
      <c r="AN103" s="374">
        <f t="shared" si="41"/>
      </c>
      <c r="AO103" s="384">
        <f t="shared" si="50"/>
      </c>
      <c r="AP103" s="381">
        <f t="shared" si="51"/>
      </c>
    </row>
    <row r="104" spans="1:42" ht="12.75">
      <c r="A104" s="223">
        <v>91</v>
      </c>
      <c r="B104" s="224" t="s">
        <v>154</v>
      </c>
      <c r="C104">
        <f>IF(RPA!S97="Y","Y","")</f>
      </c>
      <c r="D104">
        <f>IF(C104="","",IF(Criteria!C103="No Criteria","N",IF(SUM(Criteria!E103:F103)&gt;0,MIN(Criteria!E103:Criteria!F103),"")))</f>
      </c>
      <c r="F104">
        <f>IF(C104="","",IF(Criteria!D103="","N",Criteria!D103))</f>
      </c>
      <c r="I104">
        <f>IF(C104="","",IF(Criteria!F103="","No Acute",Criteria!F103))</f>
      </c>
      <c r="J104">
        <f>IF(C104="","",IF(Criteria!E103="","No Chronic",Criteria!E103))</f>
      </c>
      <c r="R104">
        <f t="shared" si="42"/>
      </c>
      <c r="S104" s="2">
        <f>IF(C104="","",IF('data input for RPA'!I99="N","N",IF('data input for RPA'!J99="N",'data input for RPA'!L99,'data input for RPA'!K99)))</f>
      </c>
      <c r="U104">
        <f t="shared" si="54"/>
      </c>
      <c r="V104">
        <f t="shared" si="55"/>
      </c>
      <c r="W104">
        <f t="shared" si="53"/>
      </c>
      <c r="Y104">
        <f t="shared" si="43"/>
      </c>
      <c r="Z104">
        <f t="shared" si="37"/>
      </c>
      <c r="AA104">
        <f t="shared" si="44"/>
      </c>
      <c r="AB104">
        <f t="shared" si="38"/>
      </c>
      <c r="AC104">
        <f t="shared" si="45"/>
      </c>
      <c r="AD104">
        <f t="shared" si="46"/>
      </c>
      <c r="AE104">
        <f t="shared" si="35"/>
      </c>
      <c r="AF104">
        <f t="shared" si="36"/>
      </c>
      <c r="AG104">
        <f t="shared" si="47"/>
      </c>
      <c r="AH104">
        <f t="shared" si="39"/>
      </c>
      <c r="AI104">
        <f t="shared" si="56"/>
      </c>
      <c r="AJ104">
        <f t="shared" si="52"/>
      </c>
      <c r="AK104" s="386">
        <f t="shared" si="48"/>
      </c>
      <c r="AL104" s="386">
        <f t="shared" si="49"/>
      </c>
      <c r="AM104" s="408">
        <f t="shared" si="40"/>
      </c>
      <c r="AN104" s="374">
        <f t="shared" si="41"/>
      </c>
      <c r="AO104" s="384">
        <f t="shared" si="50"/>
      </c>
      <c r="AP104" s="381">
        <f t="shared" si="51"/>
      </c>
    </row>
    <row r="105" spans="1:42" ht="12.75">
      <c r="A105" s="223">
        <v>92</v>
      </c>
      <c r="B105" s="224" t="s">
        <v>226</v>
      </c>
      <c r="C105">
        <f>IF(RPA!S98="Y","Y","")</f>
      </c>
      <c r="D105">
        <f>IF(C105="","",IF(Criteria!C104="No Criteria","N",IF(SUM(Criteria!E104:F104)&gt;0,MIN(Criteria!E104:Criteria!F104),"")))</f>
      </c>
      <c r="F105">
        <f>IF(C105="","",IF(Criteria!D104="","N",Criteria!D104))</f>
      </c>
      <c r="I105">
        <f>IF(C105="","",IF(Criteria!F104="","No Acute",Criteria!F104))</f>
      </c>
      <c r="J105">
        <f>IF(C105="","",IF(Criteria!E104="","No Chronic",Criteria!E104))</f>
      </c>
      <c r="R105">
        <f t="shared" si="42"/>
      </c>
      <c r="S105" s="2">
        <f>IF(C105="","",IF('data input for RPA'!I100="N","N",IF('data input for RPA'!J100="N",'data input for RPA'!L100,'data input for RPA'!K100)))</f>
      </c>
      <c r="U105">
        <f t="shared" si="54"/>
      </c>
      <c r="V105">
        <f t="shared" si="55"/>
      </c>
      <c r="W105">
        <f t="shared" si="53"/>
      </c>
      <c r="Y105">
        <f t="shared" si="43"/>
      </c>
      <c r="Z105">
        <f t="shared" si="37"/>
      </c>
      <c r="AA105">
        <f t="shared" si="44"/>
      </c>
      <c r="AB105">
        <f t="shared" si="38"/>
      </c>
      <c r="AC105">
        <f t="shared" si="45"/>
      </c>
      <c r="AD105">
        <f t="shared" si="46"/>
      </c>
      <c r="AE105">
        <f t="shared" si="35"/>
      </c>
      <c r="AF105">
        <f t="shared" si="36"/>
      </c>
      <c r="AG105">
        <f t="shared" si="47"/>
      </c>
      <c r="AH105">
        <f t="shared" si="39"/>
      </c>
      <c r="AI105">
        <f t="shared" si="56"/>
      </c>
      <c r="AJ105">
        <f t="shared" si="52"/>
      </c>
      <c r="AK105" s="386">
        <f t="shared" si="48"/>
      </c>
      <c r="AL105" s="386">
        <f t="shared" si="49"/>
      </c>
      <c r="AM105" s="408">
        <f t="shared" si="40"/>
      </c>
      <c r="AN105" s="374">
        <f t="shared" si="41"/>
      </c>
      <c r="AO105" s="384">
        <f t="shared" si="50"/>
      </c>
      <c r="AP105" s="381">
        <f t="shared" si="51"/>
      </c>
    </row>
    <row r="106" spans="1:42" ht="12.75">
      <c r="A106" s="223">
        <v>93</v>
      </c>
      <c r="B106" s="224" t="s">
        <v>156</v>
      </c>
      <c r="C106">
        <f>IF(RPA!S99="Y","Y","")</f>
      </c>
      <c r="D106">
        <f>IF(C106="","",IF(Criteria!C105="No Criteria","N",IF(SUM(Criteria!E105:F105)&gt;0,MIN(Criteria!E105:Criteria!F105),"")))</f>
      </c>
      <c r="F106">
        <f>IF(C106="","",IF(Criteria!D105="","N",Criteria!D105))</f>
      </c>
      <c r="I106">
        <f>IF(C106="","",IF(Criteria!F105="","No Acute",Criteria!F105))</f>
      </c>
      <c r="J106">
        <f>IF(C106="","",IF(Criteria!E105="","No Chronic",Criteria!E105))</f>
      </c>
      <c r="R106">
        <f t="shared" si="42"/>
      </c>
      <c r="S106" s="2">
        <f>IF(C106="","",IF('data input for RPA'!I101="N","N",IF('data input for RPA'!J101="N",'data input for RPA'!L101,'data input for RPA'!K101)))</f>
      </c>
      <c r="U106">
        <f t="shared" si="54"/>
      </c>
      <c r="V106">
        <f t="shared" si="55"/>
      </c>
      <c r="W106">
        <f t="shared" si="53"/>
      </c>
      <c r="Y106">
        <f t="shared" si="43"/>
      </c>
      <c r="Z106">
        <f t="shared" si="37"/>
      </c>
      <c r="AA106">
        <f t="shared" si="44"/>
      </c>
      <c r="AB106">
        <f t="shared" si="38"/>
      </c>
      <c r="AC106">
        <f t="shared" si="45"/>
      </c>
      <c r="AD106">
        <f t="shared" si="46"/>
      </c>
      <c r="AE106">
        <f t="shared" si="35"/>
      </c>
      <c r="AF106">
        <f t="shared" si="36"/>
      </c>
      <c r="AG106">
        <f t="shared" si="47"/>
      </c>
      <c r="AH106">
        <f t="shared" si="39"/>
      </c>
      <c r="AI106">
        <f t="shared" si="56"/>
      </c>
      <c r="AJ106">
        <f t="shared" si="52"/>
      </c>
      <c r="AK106" s="386">
        <f t="shared" si="48"/>
      </c>
      <c r="AL106" s="386">
        <f t="shared" si="49"/>
      </c>
      <c r="AM106" s="408">
        <f t="shared" si="40"/>
      </c>
      <c r="AN106" s="374">
        <f t="shared" si="41"/>
      </c>
      <c r="AO106" s="384">
        <f t="shared" si="50"/>
      </c>
      <c r="AP106" s="381">
        <f t="shared" si="51"/>
      </c>
    </row>
    <row r="107" spans="1:42" ht="12.75">
      <c r="A107" s="223">
        <v>94</v>
      </c>
      <c r="B107" s="224" t="s">
        <v>227</v>
      </c>
      <c r="C107">
        <f>IF(RPA!S100="Y","Y","")</f>
      </c>
      <c r="D107">
        <f>IF(C107="","",IF(Criteria!C106="No Criteria","N",IF(SUM(Criteria!E106:F106)&gt;0,MIN(Criteria!E106:Criteria!F106),"")))</f>
      </c>
      <c r="F107">
        <f>IF(C107="","",IF(Criteria!D106="","N",Criteria!D106))</f>
      </c>
      <c r="I107">
        <f>IF(C107="","",IF(Criteria!F106="","No Acute",Criteria!F106))</f>
      </c>
      <c r="J107">
        <f>IF(C107="","",IF(Criteria!E106="","No Chronic",Criteria!E106))</f>
      </c>
      <c r="R107">
        <f t="shared" si="42"/>
      </c>
      <c r="S107" s="2">
        <f>IF(C107="","",IF('data input for RPA'!I102="N","N",IF('data input for RPA'!J102="N",'data input for RPA'!L102,'data input for RPA'!K102)))</f>
      </c>
      <c r="U107">
        <f t="shared" si="54"/>
      </c>
      <c r="V107">
        <f t="shared" si="55"/>
      </c>
      <c r="W107">
        <f t="shared" si="53"/>
      </c>
      <c r="Y107">
        <f t="shared" si="43"/>
      </c>
      <c r="Z107">
        <f t="shared" si="37"/>
      </c>
      <c r="AA107">
        <f t="shared" si="44"/>
      </c>
      <c r="AB107">
        <f t="shared" si="38"/>
      </c>
      <c r="AC107">
        <f t="shared" si="45"/>
      </c>
      <c r="AD107">
        <f t="shared" si="46"/>
      </c>
      <c r="AE107">
        <f t="shared" si="35"/>
      </c>
      <c r="AF107">
        <f t="shared" si="36"/>
      </c>
      <c r="AG107">
        <f t="shared" si="47"/>
      </c>
      <c r="AH107">
        <f t="shared" si="39"/>
      </c>
      <c r="AI107">
        <f t="shared" si="56"/>
      </c>
      <c r="AJ107">
        <f t="shared" si="52"/>
      </c>
      <c r="AK107" s="386">
        <f t="shared" si="48"/>
      </c>
      <c r="AL107" s="386">
        <f t="shared" si="49"/>
      </c>
      <c r="AM107" s="408">
        <f t="shared" si="40"/>
      </c>
      <c r="AN107" s="374">
        <f t="shared" si="41"/>
      </c>
      <c r="AO107" s="384">
        <f t="shared" si="50"/>
      </c>
      <c r="AP107" s="381">
        <f t="shared" si="51"/>
      </c>
    </row>
    <row r="108" spans="1:42" ht="12.75">
      <c r="A108" s="223">
        <v>95</v>
      </c>
      <c r="B108" s="224" t="s">
        <v>158</v>
      </c>
      <c r="C108">
        <f>IF(RPA!S101="Y","Y","")</f>
      </c>
      <c r="D108">
        <f>IF(C108="","",IF(Criteria!C107="No Criteria","N",IF(SUM(Criteria!E107:F107)&gt;0,MIN(Criteria!E107:Criteria!F107),"")))</f>
      </c>
      <c r="F108">
        <f>IF(C108="","",IF(Criteria!D107="","N",Criteria!D107))</f>
      </c>
      <c r="I108">
        <f>IF(C108="","",IF(Criteria!F107="","No Acute",Criteria!F107))</f>
      </c>
      <c r="J108">
        <f>IF(C108="","",IF(Criteria!E107="","No Chronic",Criteria!E107))</f>
      </c>
      <c r="R108">
        <f t="shared" si="42"/>
      </c>
      <c r="S108" s="2">
        <f>IF(C108="","",IF('data input for RPA'!I103="N","N",IF('data input for RPA'!J103="N",'data input for RPA'!L103,'data input for RPA'!K103)))</f>
      </c>
      <c r="U108">
        <f t="shared" si="54"/>
      </c>
      <c r="V108">
        <f t="shared" si="55"/>
      </c>
      <c r="W108">
        <f t="shared" si="53"/>
      </c>
      <c r="Y108">
        <f t="shared" si="43"/>
      </c>
      <c r="Z108">
        <f t="shared" si="37"/>
      </c>
      <c r="AA108">
        <f t="shared" si="44"/>
      </c>
      <c r="AB108">
        <f t="shared" si="38"/>
      </c>
      <c r="AC108">
        <f t="shared" si="45"/>
      </c>
      <c r="AD108">
        <f t="shared" si="46"/>
      </c>
      <c r="AE108">
        <f t="shared" si="35"/>
      </c>
      <c r="AF108">
        <f t="shared" si="36"/>
      </c>
      <c r="AG108">
        <f t="shared" si="47"/>
      </c>
      <c r="AH108">
        <f t="shared" si="39"/>
      </c>
      <c r="AI108">
        <f t="shared" si="56"/>
      </c>
      <c r="AJ108">
        <f t="shared" si="52"/>
      </c>
      <c r="AK108" s="386">
        <f t="shared" si="48"/>
      </c>
      <c r="AL108" s="386">
        <f t="shared" si="49"/>
      </c>
      <c r="AM108" s="408">
        <f t="shared" si="40"/>
      </c>
      <c r="AN108" s="374">
        <f t="shared" si="41"/>
      </c>
      <c r="AO108" s="384">
        <f t="shared" si="50"/>
      </c>
      <c r="AP108" s="381">
        <f t="shared" si="51"/>
      </c>
    </row>
    <row r="109" spans="1:42" ht="12.75">
      <c r="A109" s="223">
        <v>96</v>
      </c>
      <c r="B109" s="224" t="s">
        <v>159</v>
      </c>
      <c r="C109">
        <f>IF(RPA!S102="Y","Y","")</f>
      </c>
      <c r="D109">
        <f>IF(C109="","",IF(Criteria!C108="No Criteria","N",IF(SUM(Criteria!E108:F108)&gt;0,MIN(Criteria!E108:Criteria!F108),"")))</f>
      </c>
      <c r="F109">
        <f>IF(C109="","",IF(Criteria!D108="","N",Criteria!D108))</f>
      </c>
      <c r="I109">
        <f>IF(C109="","",IF(Criteria!F108="","No Acute",Criteria!F108))</f>
      </c>
      <c r="J109">
        <f>IF(C109="","",IF(Criteria!E108="","No Chronic",Criteria!E108))</f>
      </c>
      <c r="R109">
        <f t="shared" si="42"/>
      </c>
      <c r="S109" s="2">
        <f>IF(C109="","",IF('data input for RPA'!I104="N","N",IF('data input for RPA'!J104="N",'data input for RPA'!L104,'data input for RPA'!K104)))</f>
      </c>
      <c r="U109">
        <f t="shared" si="54"/>
      </c>
      <c r="V109">
        <f t="shared" si="55"/>
      </c>
      <c r="W109">
        <f t="shared" si="53"/>
      </c>
      <c r="Y109">
        <f t="shared" si="43"/>
      </c>
      <c r="Z109">
        <f t="shared" si="37"/>
      </c>
      <c r="AA109">
        <f t="shared" si="44"/>
      </c>
      <c r="AB109">
        <f t="shared" si="38"/>
      </c>
      <c r="AC109">
        <f t="shared" si="45"/>
      </c>
      <c r="AD109">
        <f t="shared" si="46"/>
      </c>
      <c r="AE109">
        <f t="shared" si="35"/>
      </c>
      <c r="AF109">
        <f t="shared" si="36"/>
      </c>
      <c r="AG109">
        <f t="shared" si="47"/>
      </c>
      <c r="AH109">
        <f t="shared" si="39"/>
      </c>
      <c r="AI109">
        <f t="shared" si="56"/>
      </c>
      <c r="AJ109">
        <f t="shared" si="52"/>
      </c>
      <c r="AK109" s="386">
        <f t="shared" si="48"/>
      </c>
      <c r="AL109" s="386">
        <f t="shared" si="49"/>
      </c>
      <c r="AM109" s="408">
        <f t="shared" si="40"/>
      </c>
      <c r="AN109" s="374">
        <f t="shared" si="41"/>
      </c>
      <c r="AO109" s="384">
        <f t="shared" si="50"/>
      </c>
      <c r="AP109" s="381">
        <f t="shared" si="51"/>
      </c>
    </row>
    <row r="110" spans="1:42" ht="12.75">
      <c r="A110" s="223">
        <v>97</v>
      </c>
      <c r="B110" s="224" t="s">
        <v>160</v>
      </c>
      <c r="C110">
        <f>IF(RPA!S103="Y","Y","")</f>
      </c>
      <c r="D110">
        <f>IF(C110="","",IF(Criteria!C109="No Criteria","N",IF(SUM(Criteria!E109:F109)&gt;0,MIN(Criteria!E109:Criteria!F109),"")))</f>
      </c>
      <c r="F110">
        <f>IF(C110="","",IF(Criteria!D109="","N",Criteria!D109))</f>
      </c>
      <c r="I110">
        <f>IF(C110="","",IF(Criteria!F109="","No Acute",Criteria!F109))</f>
      </c>
      <c r="J110">
        <f>IF(C110="","",IF(Criteria!E109="","No Chronic",Criteria!E109))</f>
      </c>
      <c r="R110">
        <f t="shared" si="42"/>
      </c>
      <c r="S110" s="2">
        <f>IF(C110="","",IF('data input for RPA'!I105="N","N",IF('data input for RPA'!J105="N",'data input for RPA'!L105,'data input for RPA'!K105)))</f>
      </c>
      <c r="U110">
        <f t="shared" si="54"/>
      </c>
      <c r="V110">
        <f t="shared" si="55"/>
      </c>
      <c r="W110">
        <f t="shared" si="53"/>
      </c>
      <c r="Y110">
        <f t="shared" si="43"/>
      </c>
      <c r="Z110">
        <f t="shared" si="37"/>
      </c>
      <c r="AA110">
        <f t="shared" si="44"/>
      </c>
      <c r="AB110">
        <f t="shared" si="38"/>
      </c>
      <c r="AC110">
        <f t="shared" si="45"/>
      </c>
      <c r="AD110">
        <f t="shared" si="46"/>
      </c>
      <c r="AE110">
        <f t="shared" si="35"/>
      </c>
      <c r="AF110">
        <f t="shared" si="36"/>
      </c>
      <c r="AG110">
        <f t="shared" si="47"/>
      </c>
      <c r="AH110">
        <f t="shared" si="39"/>
      </c>
      <c r="AI110">
        <f t="shared" si="56"/>
      </c>
      <c r="AJ110">
        <f t="shared" si="52"/>
      </c>
      <c r="AK110" s="386">
        <f t="shared" si="48"/>
      </c>
      <c r="AL110" s="386">
        <f t="shared" si="49"/>
      </c>
      <c r="AM110" s="408">
        <f t="shared" si="40"/>
      </c>
      <c r="AN110" s="374">
        <f t="shared" si="41"/>
      </c>
      <c r="AO110" s="384">
        <f t="shared" si="50"/>
      </c>
      <c r="AP110" s="381">
        <f t="shared" si="51"/>
      </c>
    </row>
    <row r="111" spans="1:42" ht="12.75">
      <c r="A111" s="223">
        <v>98</v>
      </c>
      <c r="B111" s="224" t="s">
        <v>161</v>
      </c>
      <c r="C111">
        <f>IF(RPA!S104="Y","Y","")</f>
      </c>
      <c r="D111">
        <f>IF(C111="","",IF(Criteria!C110="No Criteria","N",IF(SUM(Criteria!E110:F110)&gt;0,MIN(Criteria!E110:Criteria!F110),"")))</f>
      </c>
      <c r="F111">
        <f>IF(C111="","",IF(Criteria!D110="","N",Criteria!D110))</f>
      </c>
      <c r="I111">
        <f>IF(C111="","",IF(Criteria!F110="","No Acute",Criteria!F110))</f>
      </c>
      <c r="J111">
        <f>IF(C111="","",IF(Criteria!E110="","No Chronic",Criteria!E110))</f>
      </c>
      <c r="R111">
        <f t="shared" si="42"/>
      </c>
      <c r="S111" s="2">
        <f>IF(C111="","",IF('data input for RPA'!I106="N","N",IF('data input for RPA'!J106="N",'data input for RPA'!L106,'data input for RPA'!K106)))</f>
      </c>
      <c r="U111">
        <f t="shared" si="54"/>
      </c>
      <c r="V111">
        <f t="shared" si="55"/>
      </c>
      <c r="W111">
        <f t="shared" si="53"/>
      </c>
      <c r="Y111">
        <f t="shared" si="43"/>
      </c>
      <c r="Z111">
        <f t="shared" si="37"/>
      </c>
      <c r="AA111">
        <f t="shared" si="44"/>
      </c>
      <c r="AB111">
        <f t="shared" si="38"/>
      </c>
      <c r="AC111">
        <f t="shared" si="45"/>
      </c>
      <c r="AD111">
        <f t="shared" si="46"/>
      </c>
      <c r="AE111">
        <f t="shared" si="35"/>
      </c>
      <c r="AF111">
        <f t="shared" si="36"/>
      </c>
      <c r="AG111">
        <f t="shared" si="47"/>
      </c>
      <c r="AH111">
        <f t="shared" si="39"/>
      </c>
      <c r="AI111">
        <f t="shared" si="56"/>
      </c>
      <c r="AJ111">
        <f t="shared" si="52"/>
      </c>
      <c r="AK111" s="386">
        <f t="shared" si="48"/>
      </c>
      <c r="AL111" s="386">
        <f t="shared" si="49"/>
      </c>
      <c r="AM111" s="408">
        <f t="shared" si="40"/>
      </c>
      <c r="AN111" s="374">
        <f t="shared" si="41"/>
      </c>
      <c r="AO111" s="384">
        <f t="shared" si="50"/>
      </c>
      <c r="AP111" s="381">
        <f t="shared" si="51"/>
      </c>
    </row>
    <row r="112" spans="1:42" ht="12.75">
      <c r="A112" s="223">
        <v>99</v>
      </c>
      <c r="B112" s="224" t="s">
        <v>162</v>
      </c>
      <c r="C112">
        <f>IF(RPA!S105="Y","Y","")</f>
      </c>
      <c r="D112">
        <f>IF(C112="","",IF(Criteria!C111="No Criteria","N",IF(SUM(Criteria!E111:F111)&gt;0,MIN(Criteria!E111:Criteria!F111),"")))</f>
      </c>
      <c r="F112">
        <f>IF(C112="","",IF(Criteria!D111="","N",Criteria!D111))</f>
      </c>
      <c r="I112">
        <f>IF(C112="","",IF(Criteria!F111="","No Acute",Criteria!F111))</f>
      </c>
      <c r="J112">
        <f>IF(C112="","",IF(Criteria!E111="","No Chronic",Criteria!E111))</f>
      </c>
      <c r="R112">
        <f t="shared" si="42"/>
      </c>
      <c r="S112" s="2">
        <f>IF(C112="","",IF('data input for RPA'!I107="N","N",IF('data input for RPA'!J107="N",'data input for RPA'!L107,'data input for RPA'!K107)))</f>
      </c>
      <c r="U112">
        <f t="shared" si="54"/>
      </c>
      <c r="V112">
        <f t="shared" si="55"/>
      </c>
      <c r="W112">
        <f t="shared" si="53"/>
      </c>
      <c r="Y112">
        <f t="shared" si="43"/>
      </c>
      <c r="Z112">
        <f t="shared" si="37"/>
      </c>
      <c r="AA112">
        <f t="shared" si="44"/>
      </c>
      <c r="AB112">
        <f t="shared" si="38"/>
      </c>
      <c r="AC112">
        <f t="shared" si="45"/>
      </c>
      <c r="AD112">
        <f t="shared" si="46"/>
      </c>
      <c r="AE112">
        <f t="shared" si="35"/>
      </c>
      <c r="AF112">
        <f t="shared" si="36"/>
      </c>
      <c r="AG112">
        <f t="shared" si="47"/>
      </c>
      <c r="AH112">
        <f t="shared" si="39"/>
      </c>
      <c r="AI112">
        <f t="shared" si="56"/>
      </c>
      <c r="AJ112">
        <f t="shared" si="52"/>
      </c>
      <c r="AK112" s="386">
        <f t="shared" si="48"/>
      </c>
      <c r="AL112" s="386">
        <f t="shared" si="49"/>
      </c>
      <c r="AM112" s="408">
        <f t="shared" si="40"/>
      </c>
      <c r="AN112" s="374">
        <f t="shared" si="41"/>
      </c>
      <c r="AO112" s="384">
        <f t="shared" si="50"/>
      </c>
      <c r="AP112" s="381">
        <f t="shared" si="51"/>
      </c>
    </row>
    <row r="113" spans="1:42" ht="12.75">
      <c r="A113" s="223">
        <v>100</v>
      </c>
      <c r="B113" s="224" t="s">
        <v>163</v>
      </c>
      <c r="C113">
        <f>IF(RPA!S106="Y","Y","")</f>
      </c>
      <c r="D113">
        <f>IF(C113="","",IF(Criteria!C112="No Criteria","N",IF(SUM(Criteria!E112:F112)&gt;0,MIN(Criteria!E112:Criteria!F112),"")))</f>
      </c>
      <c r="F113">
        <f>IF(C113="","",IF(Criteria!D112="","N",Criteria!D112))</f>
      </c>
      <c r="I113">
        <f>IF(C113="","",IF(Criteria!F112="","No Acute",Criteria!F112))</f>
      </c>
      <c r="J113">
        <f>IF(C113="","",IF(Criteria!E112="","No Chronic",Criteria!E112))</f>
      </c>
      <c r="R113">
        <f t="shared" si="42"/>
      </c>
      <c r="S113" s="2">
        <f>IF(C113="","",IF('data input for RPA'!I108="N","N",IF('data input for RPA'!J108="N",'data input for RPA'!L108,'data input for RPA'!K108)))</f>
      </c>
      <c r="U113">
        <f t="shared" si="54"/>
      </c>
      <c r="V113">
        <f t="shared" si="55"/>
      </c>
      <c r="W113">
        <f t="shared" si="53"/>
      </c>
      <c r="Y113">
        <f t="shared" si="43"/>
      </c>
      <c r="Z113">
        <f t="shared" si="37"/>
      </c>
      <c r="AA113">
        <f t="shared" si="44"/>
      </c>
      <c r="AB113">
        <f t="shared" si="38"/>
      </c>
      <c r="AC113">
        <f t="shared" si="45"/>
      </c>
      <c r="AD113">
        <f t="shared" si="46"/>
      </c>
      <c r="AE113">
        <f t="shared" si="35"/>
      </c>
      <c r="AF113">
        <f t="shared" si="36"/>
      </c>
      <c r="AG113">
        <f t="shared" si="47"/>
      </c>
      <c r="AH113">
        <f t="shared" si="39"/>
      </c>
      <c r="AI113">
        <f t="shared" si="56"/>
      </c>
      <c r="AJ113">
        <f t="shared" si="52"/>
      </c>
      <c r="AK113" s="386">
        <f t="shared" si="48"/>
      </c>
      <c r="AL113" s="386">
        <f t="shared" si="49"/>
      </c>
      <c r="AM113" s="408">
        <f t="shared" si="40"/>
      </c>
      <c r="AN113" s="374">
        <f t="shared" si="41"/>
      </c>
      <c r="AO113" s="384">
        <f t="shared" si="50"/>
      </c>
      <c r="AP113" s="381">
        <f t="shared" si="51"/>
      </c>
    </row>
    <row r="114" spans="1:42" ht="12.75">
      <c r="A114" s="223">
        <v>101</v>
      </c>
      <c r="B114" s="224" t="s">
        <v>164</v>
      </c>
      <c r="C114">
        <f>IF(RPA!S107="Y","Y","")</f>
      </c>
      <c r="D114">
        <f>IF(C114="","",IF(Criteria!C113="No Criteria","N",IF(SUM(Criteria!E113:F113)&gt;0,MIN(Criteria!E113:Criteria!F113),"")))</f>
      </c>
      <c r="F114">
        <f>IF(C114="","",IF(Criteria!D113="","N",Criteria!D113))</f>
      </c>
      <c r="I114">
        <f>IF(C114="","",IF(Criteria!F113="","No Acute",Criteria!F113))</f>
      </c>
      <c r="J114">
        <f>IF(C114="","",IF(Criteria!E113="","No Chronic",Criteria!E113))</f>
      </c>
      <c r="R114">
        <f t="shared" si="42"/>
      </c>
      <c r="S114" s="2">
        <f>IF(C114="","",IF('data input for RPA'!I109="N","N",IF('data input for RPA'!J109="N",'data input for RPA'!L109,'data input for RPA'!K109)))</f>
      </c>
      <c r="U114">
        <f t="shared" si="54"/>
      </c>
      <c r="V114">
        <f t="shared" si="55"/>
      </c>
      <c r="W114">
        <f t="shared" si="53"/>
      </c>
      <c r="Y114">
        <f t="shared" si="43"/>
      </c>
      <c r="Z114">
        <f t="shared" si="37"/>
      </c>
      <c r="AA114">
        <f t="shared" si="44"/>
      </c>
      <c r="AB114">
        <f t="shared" si="38"/>
      </c>
      <c r="AC114">
        <f t="shared" si="45"/>
      </c>
      <c r="AD114">
        <f t="shared" si="46"/>
      </c>
      <c r="AE114">
        <f t="shared" si="35"/>
      </c>
      <c r="AF114">
        <f t="shared" si="36"/>
      </c>
      <c r="AG114">
        <f t="shared" si="47"/>
      </c>
      <c r="AH114">
        <f t="shared" si="39"/>
      </c>
      <c r="AI114">
        <f t="shared" si="56"/>
      </c>
      <c r="AJ114">
        <f t="shared" si="52"/>
      </c>
      <c r="AK114" s="386">
        <f t="shared" si="48"/>
      </c>
      <c r="AL114" s="386">
        <f t="shared" si="49"/>
      </c>
      <c r="AM114" s="408">
        <f t="shared" si="40"/>
      </c>
      <c r="AN114" s="374">
        <f t="shared" si="41"/>
      </c>
      <c r="AO114" s="384">
        <f t="shared" si="50"/>
      </c>
      <c r="AP114" s="381">
        <f t="shared" si="51"/>
      </c>
    </row>
    <row r="115" spans="1:42" ht="12.75">
      <c r="A115" s="223">
        <v>102</v>
      </c>
      <c r="B115" s="224" t="s">
        <v>165</v>
      </c>
      <c r="C115">
        <f>IF(RPA!S108="Y","Y","")</f>
      </c>
      <c r="D115">
        <f>IF(C115="","",IF(Criteria!C114="No Criteria","N",IF(SUM(Criteria!E114:F114)&gt;0,MIN(Criteria!E114:Criteria!F114),"")))</f>
      </c>
      <c r="F115">
        <f>IF(C115="","",IF(Criteria!D114="","N",Criteria!D114))</f>
      </c>
      <c r="I115">
        <f>IF(C115="","",IF(Criteria!F114="","No Acute",Criteria!F114))</f>
      </c>
      <c r="J115">
        <f>IF(C115="","",IF(Criteria!E114="","No Chronic",Criteria!E114))</f>
      </c>
      <c r="R115">
        <f t="shared" si="42"/>
      </c>
      <c r="S115" s="2">
        <f>IF(C115="","",IF('data input for RPA'!I110="N","N",IF('data input for RPA'!J110="N",'data input for RPA'!L110,'data input for RPA'!K110)))</f>
      </c>
      <c r="U115">
        <f t="shared" si="54"/>
      </c>
      <c r="V115">
        <f t="shared" si="55"/>
      </c>
      <c r="W115">
        <f t="shared" si="53"/>
      </c>
      <c r="Y115">
        <f t="shared" si="43"/>
      </c>
      <c r="Z115">
        <f t="shared" si="37"/>
      </c>
      <c r="AA115">
        <f t="shared" si="44"/>
      </c>
      <c r="AB115">
        <f t="shared" si="38"/>
      </c>
      <c r="AC115">
        <f t="shared" si="45"/>
      </c>
      <c r="AD115">
        <f t="shared" si="46"/>
      </c>
      <c r="AE115">
        <f t="shared" si="35"/>
      </c>
      <c r="AF115">
        <f t="shared" si="36"/>
      </c>
      <c r="AG115">
        <f t="shared" si="47"/>
      </c>
      <c r="AH115">
        <f t="shared" si="39"/>
      </c>
      <c r="AI115">
        <f t="shared" si="56"/>
      </c>
      <c r="AJ115">
        <f t="shared" si="52"/>
      </c>
      <c r="AK115" s="386">
        <f t="shared" si="48"/>
      </c>
      <c r="AL115" s="386">
        <f t="shared" si="49"/>
      </c>
      <c r="AM115" s="408">
        <f t="shared" si="40"/>
      </c>
      <c r="AN115" s="374">
        <f t="shared" si="41"/>
      </c>
      <c r="AO115" s="384">
        <f t="shared" si="50"/>
      </c>
      <c r="AP115" s="381">
        <f t="shared" si="51"/>
      </c>
    </row>
    <row r="116" spans="1:42" ht="12.75">
      <c r="A116" s="223">
        <v>103</v>
      </c>
      <c r="B116" s="224" t="s">
        <v>166</v>
      </c>
      <c r="C116">
        <f>IF(RPA!S109="Y","Y","")</f>
      </c>
      <c r="D116">
        <f>IF(C116="","",IF(Criteria!C115="No Criteria","N",IF(SUM(Criteria!E115:F115)&gt;0,MIN(Criteria!E115:Criteria!F115),"")))</f>
      </c>
      <c r="F116">
        <f>IF(C116="","",IF(Criteria!D115="","N",Criteria!D115))</f>
      </c>
      <c r="I116">
        <f>IF(C116="","",IF(Criteria!F115="","No Acute",Criteria!F115))</f>
      </c>
      <c r="J116">
        <f>IF(C116="","",IF(Criteria!E115="","No Chronic",Criteria!E115))</f>
      </c>
      <c r="R116">
        <f t="shared" si="42"/>
      </c>
      <c r="S116" s="2">
        <f>IF(C116="","",IF('data input for RPA'!I111="N","N",IF('data input for RPA'!J111="N",'data input for RPA'!L111,'data input for RPA'!K111)))</f>
      </c>
      <c r="U116">
        <f t="shared" si="54"/>
      </c>
      <c r="V116">
        <f t="shared" si="55"/>
      </c>
      <c r="W116">
        <f t="shared" si="53"/>
      </c>
      <c r="Y116">
        <f t="shared" si="43"/>
      </c>
      <c r="Z116">
        <f t="shared" si="37"/>
      </c>
      <c r="AA116">
        <f t="shared" si="44"/>
      </c>
      <c r="AB116">
        <f t="shared" si="38"/>
      </c>
      <c r="AC116">
        <f t="shared" si="45"/>
      </c>
      <c r="AD116">
        <f t="shared" si="46"/>
      </c>
      <c r="AE116">
        <f t="shared" si="35"/>
      </c>
      <c r="AF116">
        <f t="shared" si="36"/>
      </c>
      <c r="AG116">
        <f t="shared" si="47"/>
      </c>
      <c r="AH116">
        <f t="shared" si="39"/>
      </c>
      <c r="AI116">
        <f t="shared" si="56"/>
      </c>
      <c r="AJ116">
        <f t="shared" si="52"/>
      </c>
      <c r="AK116" s="386">
        <f t="shared" si="48"/>
      </c>
      <c r="AL116" s="386">
        <f t="shared" si="49"/>
      </c>
      <c r="AM116" s="408">
        <f t="shared" si="40"/>
      </c>
      <c r="AN116" s="374">
        <f t="shared" si="41"/>
      </c>
      <c r="AO116" s="384">
        <f t="shared" si="50"/>
      </c>
      <c r="AP116" s="381">
        <f t="shared" si="51"/>
      </c>
    </row>
    <row r="117" spans="1:42" ht="12.75">
      <c r="A117" s="223">
        <v>104</v>
      </c>
      <c r="B117" s="224" t="s">
        <v>167</v>
      </c>
      <c r="C117">
        <f>IF(RPA!S110="Y","Y","")</f>
      </c>
      <c r="D117">
        <f>IF(C117="","",IF(Criteria!C116="No Criteria","N",IF(SUM(Criteria!E116:F116)&gt;0,MIN(Criteria!E116:Criteria!F116),"")))</f>
      </c>
      <c r="F117">
        <f>IF(C117="","",IF(Criteria!D116="","N",Criteria!D116))</f>
      </c>
      <c r="I117">
        <f>IF(C117="","",IF(Criteria!F116="","No Acute",Criteria!F116))</f>
      </c>
      <c r="J117">
        <f>IF(C117="","",IF(Criteria!E116="","No Chronic",Criteria!E116))</f>
      </c>
      <c r="R117">
        <f t="shared" si="42"/>
      </c>
      <c r="S117" s="2">
        <f>IF(C117="","",IF('data input for RPA'!I112="N","N",IF('data input for RPA'!J112="N",'data input for RPA'!L112,'data input for RPA'!K112)))</f>
      </c>
      <c r="U117">
        <f t="shared" si="54"/>
      </c>
      <c r="V117">
        <f t="shared" si="55"/>
      </c>
      <c r="W117">
        <f t="shared" si="53"/>
      </c>
      <c r="Y117">
        <f t="shared" si="43"/>
      </c>
      <c r="Z117">
        <f t="shared" si="37"/>
      </c>
      <c r="AA117">
        <f t="shared" si="44"/>
      </c>
      <c r="AB117">
        <f t="shared" si="38"/>
      </c>
      <c r="AC117">
        <f t="shared" si="45"/>
      </c>
      <c r="AD117">
        <f t="shared" si="46"/>
      </c>
      <c r="AE117">
        <f t="shared" si="35"/>
      </c>
      <c r="AF117">
        <f t="shared" si="36"/>
      </c>
      <c r="AG117">
        <f t="shared" si="47"/>
      </c>
      <c r="AH117">
        <f t="shared" si="39"/>
      </c>
      <c r="AI117">
        <f t="shared" si="56"/>
      </c>
      <c r="AJ117">
        <f t="shared" si="52"/>
      </c>
      <c r="AK117" s="386">
        <f t="shared" si="48"/>
      </c>
      <c r="AL117" s="386">
        <f t="shared" si="49"/>
      </c>
      <c r="AM117" s="408">
        <f t="shared" si="40"/>
      </c>
      <c r="AN117" s="374">
        <f t="shared" si="41"/>
      </c>
      <c r="AO117" s="384">
        <f t="shared" si="50"/>
      </c>
      <c r="AP117" s="381">
        <f t="shared" si="51"/>
      </c>
    </row>
    <row r="118" spans="1:42" ht="12.75">
      <c r="A118" s="223">
        <v>105</v>
      </c>
      <c r="B118" s="224" t="s">
        <v>168</v>
      </c>
      <c r="C118">
        <f>IF(RPA!S111="Y","Y","")</f>
      </c>
      <c r="D118">
        <f>IF(C118="","",IF(Criteria!C117="No Criteria","N",IF(SUM(Criteria!E117:F117)&gt;0,MIN(Criteria!E117:Criteria!F117),"")))</f>
      </c>
      <c r="F118">
        <f>IF(C118="","",IF(Criteria!D117="","N",Criteria!D117))</f>
      </c>
      <c r="I118">
        <f>IF(C118="","",IF(Criteria!F117="","No Acute",Criteria!F117))</f>
      </c>
      <c r="J118">
        <f>IF(C118="","",IF(Criteria!E117="","No Chronic",Criteria!E117))</f>
      </c>
      <c r="R118">
        <f t="shared" si="42"/>
      </c>
      <c r="S118" s="2">
        <f>IF(C118="","",IF('data input for RPA'!I113="N","N",IF('data input for RPA'!J113="N",'data input for RPA'!L113,'data input for RPA'!K113)))</f>
      </c>
      <c r="U118">
        <f t="shared" si="54"/>
      </c>
      <c r="V118">
        <f t="shared" si="55"/>
      </c>
      <c r="W118">
        <f t="shared" si="53"/>
      </c>
      <c r="Y118">
        <f t="shared" si="43"/>
      </c>
      <c r="Z118">
        <f t="shared" si="37"/>
      </c>
      <c r="AA118">
        <f t="shared" si="44"/>
      </c>
      <c r="AB118">
        <f t="shared" si="38"/>
      </c>
      <c r="AC118">
        <f t="shared" si="45"/>
      </c>
      <c r="AD118">
        <f t="shared" si="46"/>
      </c>
      <c r="AE118">
        <f t="shared" si="35"/>
      </c>
      <c r="AF118">
        <f t="shared" si="36"/>
      </c>
      <c r="AG118">
        <f t="shared" si="47"/>
      </c>
      <c r="AH118">
        <f t="shared" si="39"/>
      </c>
      <c r="AI118">
        <f t="shared" si="56"/>
      </c>
      <c r="AJ118">
        <f t="shared" si="52"/>
      </c>
      <c r="AK118" s="386">
        <f t="shared" si="48"/>
      </c>
      <c r="AL118" s="386">
        <f t="shared" si="49"/>
      </c>
      <c r="AM118" s="408">
        <f t="shared" si="40"/>
      </c>
      <c r="AN118" s="374">
        <f t="shared" si="41"/>
      </c>
      <c r="AO118" s="384">
        <f t="shared" si="50"/>
      </c>
      <c r="AP118" s="381">
        <f t="shared" si="51"/>
      </c>
    </row>
    <row r="119" spans="1:42" ht="12.75">
      <c r="A119" s="223">
        <v>106</v>
      </c>
      <c r="B119" s="224" t="s">
        <v>169</v>
      </c>
      <c r="C119">
        <f>IF(RPA!S112="Y","Y","")</f>
      </c>
      <c r="D119">
        <f>IF(C119="","",IF(Criteria!C118="No Criteria","N",IF(SUM(Criteria!E118:F118)&gt;0,MIN(Criteria!E118:Criteria!F118),"")))</f>
      </c>
      <c r="F119">
        <f>IF(C119="","",IF(Criteria!D118="","N",Criteria!D118))</f>
      </c>
      <c r="I119">
        <f>IF(C119="","",IF(Criteria!F118="","No Acute",Criteria!F118))</f>
      </c>
      <c r="J119">
        <f>IF(C119="","",IF(Criteria!E118="","No Chronic",Criteria!E118))</f>
      </c>
      <c r="R119">
        <f t="shared" si="42"/>
      </c>
      <c r="S119" s="2">
        <f>IF(C119="","",IF('data input for RPA'!I114="N","N",IF('data input for RPA'!J114="N",'data input for RPA'!L114,'data input for RPA'!K114)))</f>
      </c>
      <c r="U119">
        <f t="shared" si="54"/>
      </c>
      <c r="V119">
        <f t="shared" si="55"/>
      </c>
      <c r="W119">
        <f t="shared" si="53"/>
      </c>
      <c r="Y119">
        <f t="shared" si="43"/>
      </c>
      <c r="Z119">
        <f t="shared" si="37"/>
      </c>
      <c r="AA119">
        <f t="shared" si="44"/>
      </c>
      <c r="AB119">
        <f t="shared" si="38"/>
      </c>
      <c r="AC119">
        <f t="shared" si="45"/>
      </c>
      <c r="AD119">
        <f t="shared" si="46"/>
      </c>
      <c r="AE119">
        <f t="shared" si="35"/>
      </c>
      <c r="AF119">
        <f t="shared" si="36"/>
      </c>
      <c r="AG119">
        <f t="shared" si="47"/>
      </c>
      <c r="AH119">
        <f t="shared" si="39"/>
      </c>
      <c r="AI119">
        <f t="shared" si="56"/>
      </c>
      <c r="AJ119">
        <f t="shared" si="52"/>
      </c>
      <c r="AK119" s="386">
        <f t="shared" si="48"/>
      </c>
      <c r="AL119" s="386">
        <f t="shared" si="49"/>
      </c>
      <c r="AM119" s="408">
        <f t="shared" si="40"/>
      </c>
      <c r="AN119" s="374">
        <f t="shared" si="41"/>
      </c>
      <c r="AO119" s="384">
        <f t="shared" si="50"/>
      </c>
      <c r="AP119" s="381">
        <f t="shared" si="51"/>
      </c>
    </row>
    <row r="120" spans="1:42" ht="12.75">
      <c r="A120" s="233">
        <v>107</v>
      </c>
      <c r="B120" s="234" t="s">
        <v>248</v>
      </c>
      <c r="C120">
        <f>IF(RPA!S113="Y","Y","")</f>
      </c>
      <c r="D120">
        <f>IF(C120="","",IF(Criteria!C119="No Criteria","N",IF(SUM(Criteria!E119:F119)&gt;0,MIN(Criteria!E119:Criteria!F119),"")))</f>
      </c>
      <c r="F120">
        <f>IF(C120="","",IF(Criteria!D119="","N",Criteria!D119))</f>
      </c>
      <c r="I120">
        <f>IF(C120="","",IF(Criteria!F119="","No Acute",Criteria!F119))</f>
      </c>
      <c r="J120">
        <f>IF(C120="","",IF(Criteria!E119="","No Chronic",Criteria!E119))</f>
      </c>
      <c r="R120">
        <f t="shared" si="42"/>
      </c>
      <c r="S120" s="2">
        <f>IF(C120="","",IF('data input for RPA'!I115="N","N",IF('data input for RPA'!J115="N",'data input for RPA'!L115,'data input for RPA'!K115)))</f>
      </c>
      <c r="U120">
        <f t="shared" si="54"/>
      </c>
      <c r="V120">
        <f t="shared" si="55"/>
      </c>
      <c r="W120">
        <f t="shared" si="53"/>
      </c>
      <c r="Y120">
        <f t="shared" si="43"/>
      </c>
      <c r="Z120">
        <f t="shared" si="37"/>
      </c>
      <c r="AA120">
        <f t="shared" si="44"/>
      </c>
      <c r="AB120">
        <f t="shared" si="38"/>
      </c>
      <c r="AC120">
        <f t="shared" si="45"/>
      </c>
      <c r="AD120">
        <f t="shared" si="46"/>
      </c>
      <c r="AE120">
        <f t="shared" si="35"/>
      </c>
      <c r="AF120">
        <f t="shared" si="36"/>
      </c>
      <c r="AG120">
        <f t="shared" si="47"/>
      </c>
      <c r="AH120">
        <f t="shared" si="39"/>
      </c>
      <c r="AI120">
        <f t="shared" si="56"/>
      </c>
      <c r="AJ120">
        <f t="shared" si="52"/>
      </c>
      <c r="AK120" s="386">
        <f t="shared" si="48"/>
      </c>
      <c r="AL120" s="386">
        <f t="shared" si="49"/>
      </c>
      <c r="AM120" s="408">
        <f t="shared" si="40"/>
      </c>
      <c r="AN120" s="374">
        <f t="shared" si="41"/>
      </c>
      <c r="AO120" s="384">
        <f t="shared" si="50"/>
      </c>
      <c r="AP120" s="381">
        <f t="shared" si="51"/>
      </c>
    </row>
    <row r="121" spans="1:42" ht="12.75">
      <c r="A121" s="233">
        <v>108</v>
      </c>
      <c r="B121" s="234" t="s">
        <v>249</v>
      </c>
      <c r="C121">
        <f>IF(RPA!S114="Y","Y","")</f>
      </c>
      <c r="D121">
        <f>IF(C121="","",IF(Criteria!C120="No Criteria","N",IF(SUM(Criteria!E120:F120)&gt;0,MIN(Criteria!E120:Criteria!F120),"")))</f>
      </c>
      <c r="F121">
        <f>IF(C121="","",IF(Criteria!D120="","N",Criteria!D120))</f>
      </c>
      <c r="I121">
        <f>IF(C121="","",IF(Criteria!F120="","No Acute",Criteria!F120))</f>
      </c>
      <c r="J121">
        <f>IF(C121="","",IF(Criteria!E120="","No Chronic",Criteria!E120))</f>
      </c>
      <c r="R121">
        <f t="shared" si="42"/>
      </c>
      <c r="S121" s="2">
        <f>IF(C121="","",IF('data input for RPA'!I116="N","N",IF('data input for RPA'!J116="N",'data input for RPA'!L116,'data input for RPA'!K116)))</f>
      </c>
      <c r="U121">
        <f t="shared" si="54"/>
      </c>
      <c r="V121">
        <f t="shared" si="55"/>
      </c>
      <c r="W121">
        <f t="shared" si="53"/>
      </c>
      <c r="Y121">
        <f t="shared" si="43"/>
      </c>
      <c r="Z121">
        <f t="shared" si="37"/>
      </c>
      <c r="AA121">
        <f t="shared" si="44"/>
      </c>
      <c r="AB121">
        <f t="shared" si="38"/>
      </c>
      <c r="AC121">
        <f t="shared" si="45"/>
      </c>
      <c r="AD121">
        <f t="shared" si="46"/>
      </c>
      <c r="AE121">
        <f t="shared" si="35"/>
      </c>
      <c r="AF121">
        <f t="shared" si="36"/>
      </c>
      <c r="AG121">
        <f t="shared" si="47"/>
      </c>
      <c r="AH121">
        <f t="shared" si="39"/>
      </c>
      <c r="AI121">
        <f t="shared" si="56"/>
      </c>
      <c r="AJ121">
        <f t="shared" si="52"/>
      </c>
      <c r="AK121" s="386">
        <f t="shared" si="48"/>
      </c>
      <c r="AL121" s="386">
        <f t="shared" si="49"/>
      </c>
      <c r="AM121" s="408">
        <f t="shared" si="40"/>
      </c>
      <c r="AN121" s="374">
        <f t="shared" si="41"/>
      </c>
      <c r="AO121" s="384">
        <f t="shared" si="50"/>
      </c>
      <c r="AP121" s="381">
        <f t="shared" si="51"/>
      </c>
    </row>
    <row r="122" spans="1:42" ht="12.75">
      <c r="A122" s="223">
        <v>109</v>
      </c>
      <c r="B122" s="229" t="s">
        <v>230</v>
      </c>
      <c r="C122">
        <f>IF(RPA!S115="Y","Y","")</f>
      </c>
      <c r="D122">
        <f>IF(C122="","",IF(Criteria!C121="No Criteria","N",IF(SUM(Criteria!E121:F121)&gt;0,MIN(Criteria!E121:Criteria!F121),"")))</f>
      </c>
      <c r="F122">
        <f>IF(C122="","",IF(Criteria!D121="","N",Criteria!D121))</f>
      </c>
      <c r="K122">
        <v>0</v>
      </c>
      <c r="N122">
        <v>3</v>
      </c>
      <c r="O122">
        <v>0.01</v>
      </c>
      <c r="R122">
        <f t="shared" si="42"/>
        <v>1</v>
      </c>
      <c r="S122" s="2">
        <f>IF(C122="","",IF('data input for RPA'!I117="N","N",IF('data input for RPA'!J117="N",'data input for RPA'!L117,'data input for RPA'!K117)))</f>
      </c>
      <c r="T122">
        <f>IF(D122="","",IF('data input for RPA'!J117="N","N",'data input for RPA'!M117))</f>
      </c>
      <c r="U122">
        <f t="shared" si="54"/>
      </c>
      <c r="V122">
        <f t="shared" si="55"/>
      </c>
      <c r="W122">
        <f t="shared" si="53"/>
      </c>
      <c r="Y122">
        <f t="shared" si="43"/>
      </c>
      <c r="Z122">
        <f t="shared" si="37"/>
      </c>
      <c r="AA122">
        <f t="shared" si="44"/>
      </c>
      <c r="AB122">
        <f t="shared" si="38"/>
      </c>
      <c r="AC122">
        <f t="shared" si="45"/>
      </c>
      <c r="AD122">
        <f t="shared" si="46"/>
      </c>
      <c r="AE122" s="381">
        <f t="shared" si="35"/>
      </c>
      <c r="AF122">
        <f t="shared" si="36"/>
      </c>
      <c r="AG122">
        <f t="shared" si="47"/>
      </c>
      <c r="AH122">
        <f t="shared" si="39"/>
      </c>
      <c r="AI122">
        <f t="shared" si="56"/>
      </c>
      <c r="AJ122">
        <f t="shared" si="52"/>
      </c>
      <c r="AK122" s="386">
        <f t="shared" si="48"/>
      </c>
      <c r="AL122" s="386">
        <f t="shared" si="49"/>
      </c>
      <c r="AM122" s="408">
        <f>IF(AN122="","",IF(SUM(AI122:AJ122)=0,"No AMEL/MDEL",AN122*AI122/AJ122))</f>
      </c>
      <c r="AN122" s="374">
        <f>IF(W122="","",IF(W122="No HH Criteria","",IF(SUM(AI122:AJ122)=0,"",W122)))</f>
      </c>
      <c r="AO122" s="384">
        <f t="shared" si="50"/>
      </c>
      <c r="AP122" s="381">
        <f t="shared" si="51"/>
      </c>
    </row>
    <row r="123" spans="1:42" ht="12.75">
      <c r="A123" s="223">
        <v>110</v>
      </c>
      <c r="B123" s="224" t="s">
        <v>231</v>
      </c>
      <c r="C123">
        <f>IF(RPA!S116="Y","Y","")</f>
      </c>
      <c r="D123">
        <f>IF(C123="","",IF(Criteria!C122="No Criteria","N",IF(SUM(Criteria!E122:F122)&gt;0,MIN(Criteria!E122:Criteria!F122),"")))</f>
      </c>
      <c r="F123">
        <f>IF(C123="","",IF(Criteria!D122="","N",Criteria!D122))</f>
      </c>
      <c r="I123">
        <f>IF(C123="","",IF(Criteria!F122="","No Acute",Criteria!F122))</f>
      </c>
      <c r="J123">
        <f>IF(C123="","",IF(Criteria!E122="","No Chronic",Criteria!E122))</f>
      </c>
      <c r="R123">
        <f t="shared" si="42"/>
      </c>
      <c r="S123" s="2">
        <f>IF(C123="","",IF('data input for RPA'!I118="N","N",IF('data input for RPA'!J118="N",'data input for RPA'!L118,'data input for RPA'!K118)))</f>
      </c>
      <c r="U123">
        <f t="shared" si="54"/>
      </c>
      <c r="V123">
        <f t="shared" si="55"/>
      </c>
      <c r="W123">
        <f t="shared" si="53"/>
      </c>
      <c r="Y123">
        <f t="shared" si="43"/>
      </c>
      <c r="Z123">
        <f t="shared" si="37"/>
      </c>
      <c r="AA123">
        <f t="shared" si="44"/>
      </c>
      <c r="AB123">
        <f t="shared" si="38"/>
      </c>
      <c r="AC123">
        <f t="shared" si="45"/>
      </c>
      <c r="AD123">
        <f t="shared" si="46"/>
      </c>
      <c r="AE123">
        <f>IF(AC123="","",IF(U123="No Background","",IF(I123="No Acute","",U123*AC123)))</f>
      </c>
      <c r="AF123">
        <f>IF(AD123="","",IF(V123="No Background","",IF(V123="","",IF(J123="No Chronic","",V123*AD123))))</f>
      </c>
      <c r="AG123">
        <f t="shared" si="47"/>
      </c>
      <c r="AH123">
        <f t="shared" si="39"/>
      </c>
      <c r="AI123">
        <f t="shared" si="56"/>
      </c>
      <c r="AJ123">
        <f t="shared" si="52"/>
      </c>
      <c r="AK123" s="386">
        <f t="shared" si="48"/>
      </c>
      <c r="AL123" s="386">
        <f t="shared" si="49"/>
      </c>
      <c r="AM123" s="408">
        <f aca="true" t="shared" si="57" ref="AM123:AM135">IF(AN123="","",IF(SUM(AI123:AJ123)=0,"No AMEL/MDEL",AN123*AI123/AJ123))</f>
      </c>
      <c r="AN123" s="374">
        <f aca="true" t="shared" si="58" ref="AN123:AN135">IF(W123="","",IF(W123="No HH Criteria","",IF(SUM(AI123:AJ123)=0,"",W123)))</f>
      </c>
      <c r="AO123" s="384">
        <f t="shared" si="50"/>
      </c>
      <c r="AP123" s="381">
        <f t="shared" si="51"/>
      </c>
    </row>
    <row r="124" spans="1:42" ht="12.75">
      <c r="A124" s="223">
        <v>111</v>
      </c>
      <c r="B124" s="231" t="s">
        <v>250</v>
      </c>
      <c r="C124">
        <f>IF(RPA!S117="Y","Y","")</f>
      </c>
      <c r="D124">
        <f>IF(C124="","",IF(Criteria!C123="No Criteria","N",IF(SUM(Criteria!E123:F123)&gt;0,MIN(Criteria!E123:Criteria!F123),"")))</f>
      </c>
      <c r="F124">
        <f>IF(C124="","",IF(Criteria!D123="","N",Criteria!D123))</f>
      </c>
      <c r="G124" t="s">
        <v>366</v>
      </c>
      <c r="I124">
        <f>IF(C124="","",IF(Criteria!F123="","No Acute",Criteria!F123))</f>
      </c>
      <c r="J124">
        <f>IF(C124="","",IF(Criteria!E123="","No Chronic",Criteria!E123))</f>
      </c>
      <c r="K124">
        <v>0</v>
      </c>
      <c r="N124">
        <v>3</v>
      </c>
      <c r="O124">
        <v>0.01</v>
      </c>
      <c r="R124">
        <f t="shared" si="42"/>
        <v>1</v>
      </c>
      <c r="S124" s="2">
        <f>IF(C124="","",IF('data input for RPA'!I119="N","N",IF('data input for RPA'!J119="N",'data input for RPA'!L119,'data input for RPA'!K119)))</f>
      </c>
      <c r="U124">
        <f t="shared" si="54"/>
      </c>
      <c r="V124">
        <f t="shared" si="55"/>
      </c>
      <c r="W124">
        <f t="shared" si="53"/>
      </c>
      <c r="Y124">
        <f t="shared" si="43"/>
      </c>
      <c r="Z124">
        <f t="shared" si="37"/>
      </c>
      <c r="AA124">
        <f t="shared" si="44"/>
      </c>
      <c r="AB124">
        <f t="shared" si="38"/>
      </c>
      <c r="AC124">
        <f t="shared" si="45"/>
      </c>
      <c r="AD124">
        <f t="shared" si="46"/>
      </c>
      <c r="AE124">
        <f aca="true" t="shared" si="59" ref="AE124:AE135">IF(AC124="","",IF(U124="No Background","",IF(I124="No Acute","",U124*AC124)))</f>
      </c>
      <c r="AF124">
        <f aca="true" t="shared" si="60" ref="AF124:AF135">IF(AD124="","",IF(V124="No Background","",IF(V124="","",IF(J124="No Chronic","",V124*AD124))))</f>
      </c>
      <c r="AG124">
        <f t="shared" si="47"/>
      </c>
      <c r="AH124">
        <f t="shared" si="39"/>
      </c>
      <c r="AI124">
        <f t="shared" si="56"/>
      </c>
      <c r="AJ124">
        <f t="shared" si="52"/>
      </c>
      <c r="AK124" s="386">
        <f t="shared" si="48"/>
      </c>
      <c r="AL124" s="386">
        <f t="shared" si="49"/>
      </c>
      <c r="AM124" s="408">
        <f t="shared" si="57"/>
      </c>
      <c r="AN124" s="374">
        <f t="shared" si="58"/>
      </c>
      <c r="AO124" s="384">
        <f t="shared" si="50"/>
      </c>
      <c r="AP124" s="381">
        <f t="shared" si="51"/>
      </c>
    </row>
    <row r="125" spans="1:42" ht="12.75">
      <c r="A125" s="223">
        <v>112</v>
      </c>
      <c r="B125" s="224" t="s">
        <v>175</v>
      </c>
      <c r="C125">
        <f>IF(RPA!S118="Y","Y","")</f>
      </c>
      <c r="D125">
        <f>IF(C125="","",IF(Criteria!C124="No Criteria","N",IF(SUM(Criteria!E124:F124)&gt;0,MIN(Criteria!E124:Criteria!F124),"")))</f>
      </c>
      <c r="F125">
        <f>IF(C125="","",IF(Criteria!D124="","N",Criteria!D124))</f>
      </c>
      <c r="I125">
        <f>IF(C125="","",IF(Criteria!F124="","No Acute",Criteria!F124))</f>
      </c>
      <c r="J125">
        <f>IF(C125="","",IF(Criteria!E124="","No Chronic",Criteria!E124))</f>
      </c>
      <c r="R125">
        <f t="shared" si="42"/>
      </c>
      <c r="S125" s="2">
        <f>IF(C125="","",IF('data input for RPA'!I120="N","N",IF('data input for RPA'!J120="N",'data input for RPA'!L120,'data input for RPA'!K120)))</f>
      </c>
      <c r="U125">
        <f t="shared" si="54"/>
      </c>
      <c r="V125">
        <f t="shared" si="55"/>
      </c>
      <c r="W125">
        <f t="shared" si="53"/>
      </c>
      <c r="Y125">
        <f t="shared" si="43"/>
      </c>
      <c r="Z125">
        <f t="shared" si="37"/>
      </c>
      <c r="AA125">
        <f t="shared" si="44"/>
      </c>
      <c r="AB125">
        <f t="shared" si="38"/>
      </c>
      <c r="AC125">
        <f t="shared" si="45"/>
      </c>
      <c r="AD125">
        <f t="shared" si="46"/>
      </c>
      <c r="AE125">
        <f t="shared" si="59"/>
      </c>
      <c r="AF125">
        <f t="shared" si="60"/>
      </c>
      <c r="AG125">
        <f t="shared" si="47"/>
      </c>
      <c r="AH125">
        <f t="shared" si="39"/>
      </c>
      <c r="AI125">
        <f t="shared" si="56"/>
      </c>
      <c r="AJ125">
        <f t="shared" si="52"/>
      </c>
      <c r="AK125" s="386">
        <f t="shared" si="48"/>
      </c>
      <c r="AL125" s="386">
        <f t="shared" si="49"/>
      </c>
      <c r="AM125" s="408">
        <f t="shared" si="57"/>
      </c>
      <c r="AN125" s="374">
        <f t="shared" si="58"/>
      </c>
      <c r="AO125" s="384">
        <f t="shared" si="50"/>
      </c>
      <c r="AP125" s="381">
        <f t="shared" si="51"/>
      </c>
    </row>
    <row r="126" spans="1:42" ht="12.75">
      <c r="A126" s="223">
        <v>113</v>
      </c>
      <c r="B126" s="224" t="s">
        <v>232</v>
      </c>
      <c r="C126">
        <f>IF(RPA!S119="Y","Y","")</f>
      </c>
      <c r="D126">
        <f>IF(C126="","",IF(Criteria!C125="No Criteria","N",IF(SUM(Criteria!E125:F125)&gt;0,MIN(Criteria!E125:Criteria!F125),"")))</f>
      </c>
      <c r="F126">
        <f>IF(C126="","",IF(Criteria!D125="","N",Criteria!D125))</f>
      </c>
      <c r="I126">
        <f>IF(C126="","",IF(Criteria!F125="","No Acute",Criteria!F125))</f>
      </c>
      <c r="J126">
        <f>IF(C126="","",IF(Criteria!E125="","No Chronic",Criteria!E125))</f>
      </c>
      <c r="R126">
        <f t="shared" si="42"/>
      </c>
      <c r="S126" s="2">
        <f>IF(C126="","",IF('data input for RPA'!I121="N","N",IF('data input for RPA'!J121="N",'data input for RPA'!L121,'data input for RPA'!K121)))</f>
      </c>
      <c r="U126">
        <f t="shared" si="54"/>
      </c>
      <c r="V126">
        <f t="shared" si="55"/>
      </c>
      <c r="W126">
        <f t="shared" si="53"/>
      </c>
      <c r="Y126">
        <f t="shared" si="43"/>
      </c>
      <c r="Z126">
        <f t="shared" si="37"/>
      </c>
      <c r="AA126">
        <f t="shared" si="44"/>
      </c>
      <c r="AB126">
        <f t="shared" si="38"/>
      </c>
      <c r="AC126">
        <f t="shared" si="45"/>
      </c>
      <c r="AD126">
        <f t="shared" si="46"/>
      </c>
      <c r="AE126">
        <f t="shared" si="59"/>
      </c>
      <c r="AF126">
        <f t="shared" si="60"/>
      </c>
      <c r="AG126">
        <f t="shared" si="47"/>
      </c>
      <c r="AH126">
        <f t="shared" si="39"/>
      </c>
      <c r="AI126">
        <f t="shared" si="56"/>
      </c>
      <c r="AJ126">
        <f t="shared" si="52"/>
      </c>
      <c r="AK126" s="386">
        <f t="shared" si="48"/>
      </c>
      <c r="AL126" s="386">
        <f t="shared" si="49"/>
      </c>
      <c r="AM126" s="408">
        <f t="shared" si="57"/>
      </c>
      <c r="AN126" s="374">
        <f t="shared" si="58"/>
      </c>
      <c r="AO126" s="384">
        <f t="shared" si="50"/>
      </c>
      <c r="AP126" s="381">
        <f t="shared" si="51"/>
      </c>
    </row>
    <row r="127" spans="1:42" ht="12.75">
      <c r="A127" s="223">
        <v>114</v>
      </c>
      <c r="B127" s="224" t="s">
        <v>177</v>
      </c>
      <c r="C127">
        <f>IF(RPA!S120="Y","Y","")</f>
      </c>
      <c r="D127">
        <f>IF(C127="","",IF(Criteria!C126="No Criteria","N",IF(SUM(Criteria!E126:F126)&gt;0,MIN(Criteria!E126:Criteria!F126),"")))</f>
      </c>
      <c r="F127">
        <f>IF(C127="","",IF(Criteria!D126="","N",Criteria!D126))</f>
      </c>
      <c r="I127">
        <f>IF(C127="","",IF(Criteria!F126="","No Acute",Criteria!F126))</f>
      </c>
      <c r="J127">
        <f>IF(C127="","",IF(Criteria!E126="","No Chronic",Criteria!E126))</f>
      </c>
      <c r="R127">
        <f t="shared" si="42"/>
      </c>
      <c r="S127" s="2">
        <f>IF(C127="","",IF('data input for RPA'!I122="N","N",IF('data input for RPA'!J122="N",'data input for RPA'!L122,'data input for RPA'!K122)))</f>
      </c>
      <c r="U127">
        <f t="shared" si="54"/>
      </c>
      <c r="V127">
        <f t="shared" si="55"/>
      </c>
      <c r="W127">
        <f t="shared" si="53"/>
      </c>
      <c r="Y127">
        <f t="shared" si="43"/>
      </c>
      <c r="Z127">
        <f t="shared" si="37"/>
      </c>
      <c r="AA127">
        <f t="shared" si="44"/>
      </c>
      <c r="AB127">
        <f t="shared" si="38"/>
      </c>
      <c r="AC127">
        <f t="shared" si="45"/>
      </c>
      <c r="AD127">
        <f t="shared" si="46"/>
      </c>
      <c r="AE127">
        <f t="shared" si="59"/>
      </c>
      <c r="AF127">
        <f t="shared" si="60"/>
      </c>
      <c r="AG127">
        <f t="shared" si="47"/>
      </c>
      <c r="AH127">
        <f t="shared" si="39"/>
      </c>
      <c r="AI127">
        <f t="shared" si="56"/>
      </c>
      <c r="AJ127">
        <f t="shared" si="52"/>
      </c>
      <c r="AK127" s="386">
        <f t="shared" si="48"/>
      </c>
      <c r="AL127" s="386">
        <f t="shared" si="49"/>
      </c>
      <c r="AM127" s="408">
        <f t="shared" si="57"/>
      </c>
      <c r="AN127" s="374">
        <f t="shared" si="58"/>
      </c>
      <c r="AO127" s="384">
        <f t="shared" si="50"/>
      </c>
      <c r="AP127" s="381">
        <f t="shared" si="51"/>
      </c>
    </row>
    <row r="128" spans="1:42" ht="12.75">
      <c r="A128" s="223">
        <v>115</v>
      </c>
      <c r="B128" s="224" t="s">
        <v>178</v>
      </c>
      <c r="C128">
        <f>IF(RPA!S121="Y","Y","")</f>
      </c>
      <c r="D128">
        <f>IF(C128="","",IF(Criteria!C127="No Criteria","N",IF(SUM(Criteria!E127:F127)&gt;0,MIN(Criteria!E127:Criteria!F127),"")))</f>
      </c>
      <c r="F128">
        <f>IF(C128="","",IF(Criteria!D127="","N",Criteria!D127))</f>
      </c>
      <c r="I128">
        <f>IF(C128="","",IF(Criteria!F127="","No Acute",Criteria!F127))</f>
      </c>
      <c r="J128">
        <f>IF(C128="","",IF(Criteria!E127="","No Chronic",Criteria!E127))</f>
      </c>
      <c r="R128">
        <f t="shared" si="42"/>
      </c>
      <c r="S128" s="2">
        <f>IF(C128="","",IF('data input for RPA'!I123="N","N",IF('data input for RPA'!J123="N",'data input for RPA'!L123,'data input for RPA'!K123)))</f>
      </c>
      <c r="U128">
        <f t="shared" si="54"/>
      </c>
      <c r="V128">
        <f t="shared" si="55"/>
      </c>
      <c r="W128">
        <f t="shared" si="53"/>
      </c>
      <c r="Y128">
        <f t="shared" si="43"/>
      </c>
      <c r="Z128">
        <f t="shared" si="37"/>
      </c>
      <c r="AA128">
        <f t="shared" si="44"/>
      </c>
      <c r="AB128">
        <f t="shared" si="38"/>
      </c>
      <c r="AC128">
        <f t="shared" si="45"/>
      </c>
      <c r="AD128">
        <f t="shared" si="46"/>
      </c>
      <c r="AE128">
        <f t="shared" si="59"/>
      </c>
      <c r="AF128">
        <f t="shared" si="60"/>
      </c>
      <c r="AG128">
        <f t="shared" si="47"/>
      </c>
      <c r="AH128">
        <f t="shared" si="39"/>
      </c>
      <c r="AI128">
        <f t="shared" si="56"/>
      </c>
      <c r="AJ128">
        <f t="shared" si="52"/>
      </c>
      <c r="AK128" s="386">
        <f t="shared" si="48"/>
      </c>
      <c r="AL128" s="386">
        <f t="shared" si="49"/>
      </c>
      <c r="AM128" s="408">
        <f t="shared" si="57"/>
      </c>
      <c r="AN128" s="374">
        <f t="shared" si="58"/>
      </c>
      <c r="AO128" s="384">
        <f t="shared" si="50"/>
      </c>
      <c r="AP128" s="381">
        <f t="shared" si="51"/>
      </c>
    </row>
    <row r="129" spans="1:42" ht="12.75">
      <c r="A129" s="223">
        <v>116</v>
      </c>
      <c r="B129" s="224" t="s">
        <v>179</v>
      </c>
      <c r="C129">
        <f>IF(RPA!S122="Y","Y","")</f>
      </c>
      <c r="D129">
        <f>IF(C129="","",IF(Criteria!C128="No Criteria","N",IF(SUM(Criteria!E128:F128)&gt;0,MIN(Criteria!E128:Criteria!F128),"")))</f>
      </c>
      <c r="F129">
        <f>IF(C129="","",IF(Criteria!D128="","N",Criteria!D128))</f>
      </c>
      <c r="I129">
        <f>IF(C129="","",IF(Criteria!F128="","No Acute",Criteria!F128))</f>
      </c>
      <c r="J129">
        <f>IF(C129="","",IF(Criteria!E128="","No Chronic",Criteria!E128))</f>
      </c>
      <c r="R129">
        <f t="shared" si="42"/>
      </c>
      <c r="S129" s="2">
        <f>IF(C129="","",IF('data input for RPA'!I124="N","N",IF('data input for RPA'!J124="N",'data input for RPA'!L124,'data input for RPA'!K124)))</f>
      </c>
      <c r="U129">
        <f t="shared" si="54"/>
      </c>
      <c r="V129">
        <f t="shared" si="55"/>
      </c>
      <c r="W129">
        <f t="shared" si="53"/>
      </c>
      <c r="Y129">
        <f t="shared" si="43"/>
      </c>
      <c r="Z129">
        <f t="shared" si="37"/>
      </c>
      <c r="AA129">
        <f t="shared" si="44"/>
      </c>
      <c r="AB129">
        <f t="shared" si="38"/>
      </c>
      <c r="AC129">
        <f t="shared" si="45"/>
      </c>
      <c r="AD129">
        <f t="shared" si="46"/>
      </c>
      <c r="AE129">
        <f t="shared" si="59"/>
      </c>
      <c r="AF129">
        <f t="shared" si="60"/>
      </c>
      <c r="AG129">
        <f t="shared" si="47"/>
      </c>
      <c r="AH129">
        <f t="shared" si="39"/>
      </c>
      <c r="AI129">
        <f t="shared" si="56"/>
      </c>
      <c r="AJ129">
        <f t="shared" si="52"/>
      </c>
      <c r="AK129" s="386">
        <f t="shared" si="48"/>
      </c>
      <c r="AL129" s="386">
        <f t="shared" si="49"/>
      </c>
      <c r="AM129" s="408">
        <f t="shared" si="57"/>
      </c>
      <c r="AN129" s="374">
        <f t="shared" si="58"/>
      </c>
      <c r="AO129" s="384">
        <f t="shared" si="50"/>
      </c>
      <c r="AP129" s="381">
        <f t="shared" si="51"/>
      </c>
    </row>
    <row r="130" spans="1:42" ht="12.75">
      <c r="A130" s="223">
        <v>117</v>
      </c>
      <c r="B130" s="224" t="s">
        <v>180</v>
      </c>
      <c r="C130">
        <f>IF(RPA!S123="Y","Y","")</f>
      </c>
      <c r="D130">
        <f>IF(C130="","",IF(Criteria!C129="No Criteria","N",IF(SUM(Criteria!E129:F129)&gt;0,MIN(Criteria!E129:Criteria!F129),"")))</f>
      </c>
      <c r="F130">
        <f>IF(C130="","",IF(Criteria!D129="","N",Criteria!D129))</f>
      </c>
      <c r="I130">
        <f>IF(C130="","",IF(Criteria!F129="","No Acute",Criteria!F129))</f>
      </c>
      <c r="J130">
        <f>IF(C130="","",IF(Criteria!E129="","No Chronic",Criteria!E129))</f>
      </c>
      <c r="R130">
        <f t="shared" si="42"/>
      </c>
      <c r="S130" s="2">
        <f>IF(C130="","",IF('data input for RPA'!I125="N","N",IF('data input for RPA'!J125="N",'data input for RPA'!L125,'data input for RPA'!K125)))</f>
      </c>
      <c r="U130">
        <f t="shared" si="54"/>
      </c>
      <c r="V130">
        <f t="shared" si="55"/>
      </c>
      <c r="W130">
        <f t="shared" si="53"/>
      </c>
      <c r="Y130">
        <f t="shared" si="43"/>
      </c>
      <c r="Z130">
        <f t="shared" si="37"/>
      </c>
      <c r="AA130">
        <f t="shared" si="44"/>
      </c>
      <c r="AB130">
        <f t="shared" si="38"/>
      </c>
      <c r="AC130">
        <f t="shared" si="45"/>
      </c>
      <c r="AD130">
        <f t="shared" si="46"/>
      </c>
      <c r="AE130">
        <f t="shared" si="59"/>
      </c>
      <c r="AF130">
        <f t="shared" si="60"/>
      </c>
      <c r="AG130">
        <f t="shared" si="47"/>
      </c>
      <c r="AH130">
        <f t="shared" si="39"/>
      </c>
      <c r="AI130">
        <f t="shared" si="56"/>
      </c>
      <c r="AJ130">
        <f t="shared" si="52"/>
      </c>
      <c r="AK130" s="386">
        <f t="shared" si="48"/>
      </c>
      <c r="AL130" s="386">
        <f t="shared" si="49"/>
      </c>
      <c r="AM130" s="408">
        <f t="shared" si="57"/>
      </c>
      <c r="AN130" s="374">
        <f t="shared" si="58"/>
      </c>
      <c r="AO130" s="384">
        <f t="shared" si="50"/>
      </c>
      <c r="AP130" s="381">
        <f t="shared" si="51"/>
      </c>
    </row>
    <row r="131" spans="1:41" ht="12.75">
      <c r="A131" s="223">
        <v>118</v>
      </c>
      <c r="B131" s="224" t="s">
        <v>233</v>
      </c>
      <c r="C131" t="str">
        <f>IF(RPA!S124="Y","Y","")</f>
        <v>Y</v>
      </c>
      <c r="D131">
        <f>IF(C131="","",IF(Criteria!C130="No Criteria","N",IF(SUM(Criteria!E130:F130)&gt;0,MIN(Criteria!E130:Criteria!F130),"")))</f>
        <v>0.0036</v>
      </c>
      <c r="F131">
        <f>IF(C131="","",IF(Criteria!D130="","N",Criteria!D130))</f>
        <v>0.00011</v>
      </c>
      <c r="I131">
        <f>IF(C131="","",IF(Criteria!F130="","No Acute",Criteria!F130))</f>
        <v>0.053</v>
      </c>
      <c r="J131">
        <f>IF(C131="","",IF(Criteria!E130="","No Chronic",Criteria!E130))</f>
        <v>0.0036</v>
      </c>
      <c r="S131" s="2">
        <f>IF(C131="","",IF('data input for RPA'!I126="N","N",IF('data input for RPA'!J126="N",'data input for RPA'!L126,'data input for RPA'!K126)))</f>
        <v>2.458E-05</v>
      </c>
      <c r="U131">
        <f t="shared" si="54"/>
        <v>0.52977878</v>
      </c>
      <c r="V131">
        <f t="shared" si="55"/>
        <v>0.035778779999999996</v>
      </c>
      <c r="W131">
        <f t="shared" si="53"/>
        <v>0.00087878</v>
      </c>
      <c r="X131">
        <v>0.6</v>
      </c>
      <c r="Y131">
        <f t="shared" si="43"/>
        <v>0.30748469974796055</v>
      </c>
      <c r="Z131">
        <f t="shared" si="37"/>
        <v>0.5545130293761911</v>
      </c>
      <c r="AA131">
        <f t="shared" si="44"/>
        <v>0.08617769624105241</v>
      </c>
      <c r="AB131">
        <f t="shared" si="38"/>
        <v>0.293560379208524</v>
      </c>
      <c r="AC131">
        <f t="shared" si="45"/>
        <v>0.32108321379047927</v>
      </c>
      <c r="AD131">
        <f t="shared" si="46"/>
        <v>0.527433444097936</v>
      </c>
      <c r="AE131">
        <f t="shared" si="59"/>
        <v>0.17010307328039928</v>
      </c>
      <c r="AF131">
        <f t="shared" si="60"/>
        <v>0.01887092516102235</v>
      </c>
      <c r="AG131">
        <f t="shared" si="47"/>
        <v>0.08617769624105241</v>
      </c>
      <c r="AH131">
        <f t="shared" si="39"/>
        <v>0.293560379208524</v>
      </c>
      <c r="AI131">
        <f t="shared" si="56"/>
        <v>3.1144574273899703</v>
      </c>
      <c r="AJ131">
        <f t="shared" si="52"/>
        <v>1.5524246137530893</v>
      </c>
      <c r="AK131" s="386">
        <f t="shared" si="48"/>
        <v>0.058772693029466326</v>
      </c>
      <c r="AL131" s="386">
        <f t="shared" si="49"/>
        <v>0.029295688704263575</v>
      </c>
      <c r="AM131" s="408">
        <f t="shared" si="57"/>
        <v>0.0017629989075122082</v>
      </c>
      <c r="AN131" s="374">
        <f t="shared" si="58"/>
        <v>0.00087878</v>
      </c>
      <c r="AO131" s="384"/>
    </row>
    <row r="132" spans="1:41" s="374" customFormat="1" ht="12.75">
      <c r="A132" s="406" t="s">
        <v>182</v>
      </c>
      <c r="B132" s="407" t="s">
        <v>251</v>
      </c>
      <c r="C132" s="374" t="s">
        <v>37</v>
      </c>
      <c r="D132" s="374">
        <f>IF(C132="","",IF(Criteria!C131="No Criteria","N",IF(SUM(Criteria!E131:F131)&gt;0,MIN(Criteria!E131:Criteria!F131),"")))</f>
        <v>0.014</v>
      </c>
      <c r="F132" s="374">
        <f>IF(C132="","",IF(Criteria!D131="","N",Criteria!D131))</f>
        <v>0.00017</v>
      </c>
      <c r="I132" s="374" t="str">
        <f>IF(C132="","",IF(Criteria!F131="","No Acute",Criteria!F131))</f>
        <v>No Acute</v>
      </c>
      <c r="J132" s="374">
        <f>IF(C132="","",IF(Criteria!E131="","No Chronic",Criteria!E131))</f>
        <v>0.014</v>
      </c>
      <c r="S132" s="2" t="str">
        <f>IF(C132="","",IF('data input for RPA'!I127="N","N",IF('data input for RPA'!J127="N",'data input for RPA'!L127,'data input for RPA'!K127)))</f>
        <v>N</v>
      </c>
      <c r="U132"/>
      <c r="V132" s="374">
        <v>0.14</v>
      </c>
      <c r="W132" s="374">
        <v>0.0017000000000000001</v>
      </c>
      <c r="X132" s="374">
        <v>0.6</v>
      </c>
      <c r="Y132" s="374">
        <v>0.30748469974796055</v>
      </c>
      <c r="Z132" s="374">
        <v>0.5545130293761911</v>
      </c>
      <c r="AA132" s="374">
        <v>0.08617769624105241</v>
      </c>
      <c r="AB132" s="374">
        <v>0.293560379208524</v>
      </c>
      <c r="AC132" s="374">
        <v>0.32108321379047927</v>
      </c>
      <c r="AD132" s="374">
        <v>0.527433444097936</v>
      </c>
      <c r="AE132" t="s">
        <v>370</v>
      </c>
      <c r="AF132">
        <v>0.07384068217371105</v>
      </c>
      <c r="AG132" s="374">
        <v>0.08617769624105241</v>
      </c>
      <c r="AH132" s="374">
        <v>0.293560379208524</v>
      </c>
      <c r="AI132">
        <v>3.1144574273899703</v>
      </c>
      <c r="AJ132" s="374">
        <v>1.5524246137530893</v>
      </c>
      <c r="AK132" s="374">
        <v>0.22997366103945657</v>
      </c>
      <c r="AL132" s="374">
        <v>0.114632092502788</v>
      </c>
      <c r="AM132" s="408">
        <v>0.000341052156713939</v>
      </c>
      <c r="AN132" s="374">
        <v>0.00017</v>
      </c>
      <c r="AO132" s="409"/>
    </row>
    <row r="133" spans="1:42" ht="12.75">
      <c r="A133" s="227">
        <v>126</v>
      </c>
      <c r="B133" s="265" t="s">
        <v>20</v>
      </c>
      <c r="C133">
        <f>IF(RPA!S126="Y","Y","")</f>
      </c>
      <c r="D133">
        <f>IF(C133="","",IF(Criteria!C132="No Criteria","N",IF(SUM(Criteria!E132:F132)&gt;0,MIN(Criteria!E132:Criteria!F132),"")))</f>
      </c>
      <c r="F133">
        <f>IF(C133="","",IF(Criteria!D132="","N",Criteria!D132))</f>
      </c>
      <c r="I133">
        <f>IF(C133="","",IF(Criteria!F132="","No Acute",Criteria!F132))</f>
      </c>
      <c r="J133">
        <f>IF(C133="","",IF(Criteria!E132="","No Chronic",Criteria!E132))</f>
      </c>
      <c r="S133" s="2">
        <f>IF(C133="","",IF('data input for RPA'!I128="N","N",IF('data input for RPA'!J128="N",'data input for RPA'!L128,'data input for RPA'!K128)))</f>
      </c>
      <c r="U133">
        <f t="shared" si="54"/>
      </c>
      <c r="V133">
        <f t="shared" si="55"/>
      </c>
      <c r="W133">
        <f t="shared" si="53"/>
      </c>
      <c r="Y133">
        <f t="shared" si="43"/>
      </c>
      <c r="Z133">
        <f t="shared" si="37"/>
      </c>
      <c r="AA133">
        <f t="shared" si="44"/>
      </c>
      <c r="AB133">
        <f t="shared" si="38"/>
      </c>
      <c r="AC133">
        <f t="shared" si="45"/>
      </c>
      <c r="AD133">
        <f t="shared" si="46"/>
      </c>
      <c r="AE133">
        <f t="shared" si="59"/>
      </c>
      <c r="AF133">
        <f t="shared" si="60"/>
      </c>
      <c r="AG133">
        <f t="shared" si="47"/>
      </c>
      <c r="AH133">
        <f t="shared" si="39"/>
      </c>
      <c r="AI133">
        <f t="shared" si="56"/>
      </c>
      <c r="AJ133">
        <f t="shared" si="52"/>
      </c>
      <c r="AK133" s="386">
        <f t="shared" si="48"/>
      </c>
      <c r="AL133" s="386">
        <f t="shared" si="49"/>
      </c>
      <c r="AM133" s="408">
        <f t="shared" si="57"/>
      </c>
      <c r="AN133" s="374">
        <f t="shared" si="58"/>
      </c>
      <c r="AO133" s="384">
        <f t="shared" si="50"/>
      </c>
      <c r="AP133" s="381">
        <f t="shared" si="51"/>
      </c>
    </row>
    <row r="134" spans="1:42" ht="12.75">
      <c r="A134" s="227"/>
      <c r="B134" s="265" t="s">
        <v>235</v>
      </c>
      <c r="C134">
        <f>IF(RPA!S127="Y","Y","")</f>
      </c>
      <c r="D134">
        <f>IF(C134="","",IF(Criteria!C133="No Criteria","N",IF(SUM(Criteria!E133:F133)&gt;0,MIN(Criteria!E133:Criteria!F133),"")))</f>
      </c>
      <c r="F134">
        <f>IF(C134="","",IF(Criteria!D133="","N",Criteria!D133))</f>
      </c>
      <c r="I134">
        <f>IF(C134="","",IF(Criteria!F133="","No Acute",Criteria!F133))</f>
      </c>
      <c r="J134">
        <f>IF(C134="","",IF(Criteria!E133="","No Chronic",Criteria!E133))</f>
      </c>
      <c r="S134" s="2">
        <f>IF(C134="","",IF('data input for RPA'!I129="N","N",IF('data input for RPA'!J129="N",'data input for RPA'!L129,'data input for RPA'!K129)))</f>
      </c>
      <c r="U134">
        <f t="shared" si="54"/>
      </c>
      <c r="V134">
        <f t="shared" si="55"/>
      </c>
      <c r="W134">
        <f t="shared" si="53"/>
      </c>
      <c r="Y134">
        <f t="shared" si="43"/>
      </c>
      <c r="Z134">
        <f t="shared" si="37"/>
      </c>
      <c r="AA134">
        <f t="shared" si="44"/>
      </c>
      <c r="AB134">
        <f t="shared" si="38"/>
      </c>
      <c r="AC134">
        <f t="shared" si="45"/>
      </c>
      <c r="AD134">
        <f t="shared" si="46"/>
      </c>
      <c r="AE134">
        <f t="shared" si="59"/>
      </c>
      <c r="AF134">
        <f t="shared" si="60"/>
      </c>
      <c r="AG134">
        <f t="shared" si="47"/>
      </c>
      <c r="AH134">
        <f t="shared" si="39"/>
      </c>
      <c r="AI134">
        <f t="shared" si="56"/>
      </c>
      <c r="AJ134">
        <f t="shared" si="52"/>
      </c>
      <c r="AK134" s="386">
        <f t="shared" si="48"/>
      </c>
      <c r="AL134" s="386">
        <f t="shared" si="49"/>
      </c>
      <c r="AM134" s="408">
        <f t="shared" si="57"/>
      </c>
      <c r="AN134" s="374">
        <f t="shared" si="58"/>
      </c>
      <c r="AO134" s="384">
        <f t="shared" si="50"/>
      </c>
      <c r="AP134" s="381">
        <f t="shared" si="51"/>
      </c>
    </row>
    <row r="135" spans="1:42" ht="12.75">
      <c r="A135" s="274"/>
      <c r="B135" s="272" t="s">
        <v>269</v>
      </c>
      <c r="C135">
        <f>IF(RPA!S128="Y","Y","")</f>
      </c>
      <c r="D135">
        <f>IF(C135="","",IF(Criteria!C134="No Criteria","N",IF(SUM(Criteria!E134:F134)&gt;0,MIN(Criteria!E134:Criteria!F134),"")))</f>
      </c>
      <c r="F135">
        <f>IF(C135="","",IF(Criteria!D134="","N",Criteria!D134))</f>
      </c>
      <c r="I135">
        <f>IF(C135="","",IF(Criteria!F134="","No Acute",Criteria!F134))</f>
      </c>
      <c r="J135">
        <f>IF(C135="","",IF(Criteria!E134="","No Chronic",Criteria!E134))</f>
      </c>
      <c r="R135">
        <f t="shared" si="42"/>
      </c>
      <c r="S135" s="2">
        <f>IF(C135="","",IF('data input for RPA'!I130="N","N",IF('data input for RPA'!J130="N",'data input for RPA'!L130,'data input for RPA'!K130)))</f>
      </c>
      <c r="U135">
        <f t="shared" si="54"/>
      </c>
      <c r="V135">
        <f t="shared" si="55"/>
      </c>
      <c r="W135">
        <f t="shared" si="53"/>
      </c>
      <c r="Y135">
        <f t="shared" si="43"/>
      </c>
      <c r="Z135">
        <f t="shared" si="37"/>
      </c>
      <c r="AA135">
        <f t="shared" si="44"/>
      </c>
      <c r="AB135">
        <f t="shared" si="38"/>
      </c>
      <c r="AC135">
        <f t="shared" si="45"/>
      </c>
      <c r="AD135">
        <f t="shared" si="46"/>
      </c>
      <c r="AE135">
        <f t="shared" si="59"/>
      </c>
      <c r="AF135">
        <f t="shared" si="60"/>
      </c>
      <c r="AG135">
        <f t="shared" si="47"/>
      </c>
      <c r="AH135">
        <f t="shared" si="39"/>
      </c>
      <c r="AI135">
        <f t="shared" si="56"/>
      </c>
      <c r="AJ135">
        <f t="shared" si="52"/>
      </c>
      <c r="AK135" s="386">
        <f t="shared" si="48"/>
      </c>
      <c r="AL135" s="386">
        <f t="shared" si="49"/>
      </c>
      <c r="AM135" s="408">
        <f t="shared" si="57"/>
      </c>
      <c r="AN135" s="374">
        <f t="shared" si="58"/>
      </c>
      <c r="AO135" s="384">
        <f t="shared" si="50"/>
      </c>
      <c r="AP135" s="381">
        <f t="shared" si="51"/>
      </c>
    </row>
    <row r="136" spans="19:35" ht="12.75">
      <c r="S136" s="2">
        <f>IF(C136="","",IF('data input for RPA'!I131="N","N",IF('data input for RPA'!J131="N",'data input for RPA'!L131,'data input for RPA'!K131)))</f>
      </c>
      <c r="W136">
        <f t="shared" si="53"/>
      </c>
      <c r="AI136">
        <f t="shared" si="56"/>
      </c>
    </row>
    <row r="137" spans="19:35" ht="12.75">
      <c r="S137" s="2">
        <f>IF(C137="","",IF('data input for RPA'!I132="N","N",IF('data input for RPA'!J132="N",'data input for RPA'!L132,'data input for RPA'!K132)))</f>
      </c>
      <c r="AI137">
        <f t="shared" si="56"/>
      </c>
    </row>
    <row r="138" spans="19:35" ht="12.75">
      <c r="S138" s="2">
        <f>IF(C138="","",IF('data input for RPA'!I133="N","N",IF('data input for RPA'!J133="N",'data input for RPA'!L133,'data input for RPA'!K133)))</f>
      </c>
      <c r="AI138">
        <f t="shared" si="56"/>
      </c>
    </row>
    <row r="139" spans="19:35" ht="12.75">
      <c r="S139" s="2">
        <f>IF(C139="","",IF('data input for RPA'!I134="N","N",IF('data input for RPA'!J134="N",'data input for RPA'!L134,'data input for RPA'!K134)))</f>
      </c>
      <c r="AI139">
        <f t="shared" si="56"/>
      </c>
    </row>
    <row r="140" spans="19:35" ht="12.75">
      <c r="S140" s="2">
        <f>IF(C140="","",IF('data input for RPA'!I135="N","N",IF('data input for RPA'!J135="N",'data input for RPA'!L135,'data input for RPA'!K135)))</f>
      </c>
      <c r="AI140">
        <f t="shared" si="56"/>
      </c>
    </row>
    <row r="141" spans="19:35" ht="12.75">
      <c r="S141" s="2">
        <f>IF(C141="","",IF('data input for RPA'!I136="N","N",IF('data input for RPA'!J136="N",'data input for RPA'!L136,'data input for RPA'!K136)))</f>
      </c>
      <c r="AI141">
        <f t="shared" si="56"/>
      </c>
    </row>
    <row r="142" spans="19:35" ht="12.75">
      <c r="S142" s="2">
        <f>IF(C142="","",IF('data input for RPA'!I137="N","N",IF('data input for RPA'!J137="N",'data input for RPA'!L137,'data input for RPA'!K137)))</f>
      </c>
      <c r="AI142">
        <f t="shared" si="56"/>
      </c>
    </row>
    <row r="143" spans="19:35" ht="12.75">
      <c r="S143" s="2">
        <f>IF(C143="","",IF('data input for RPA'!I138="N","N",IF('data input for RPA'!J138="N",'data input for RPA'!L138,'data input for RPA'!K138)))</f>
      </c>
      <c r="AI143">
        <f t="shared" si="56"/>
      </c>
    </row>
    <row r="144" spans="19:35" ht="12.75">
      <c r="S144" s="2">
        <f>IF(C144="","",IF('data input for RPA'!I139="N","N",IF('data input for RPA'!J139="N",'data input for RPA'!L139,'data input for RPA'!K139)))</f>
      </c>
      <c r="AI144">
        <f t="shared" si="56"/>
      </c>
    </row>
    <row r="145" ht="12.75">
      <c r="S145" s="2">
        <f>IF(C145="","",IF('data input for RPA'!I140="N","N",IF('data input for RPA'!J140="N",'data input for RPA'!L140,'data input for RPA'!K140)))</f>
      </c>
    </row>
    <row r="146" ht="12.75">
      <c r="S146" s="2">
        <f>IF(C146="","",IF('data input for RPA'!I141="N","N",IF('data input for RPA'!J141="N",'data input for RPA'!L141,'data input for RPA'!K141)))</f>
      </c>
    </row>
    <row r="147" ht="12.75">
      <c r="S147" s="2">
        <f>IF(C147="","",IF('data input for RPA'!I142="N","N",IF('data input for RPA'!J142="N",'data input for RPA'!L142,'data input for RPA'!K142)))</f>
      </c>
    </row>
    <row r="148" ht="12.75">
      <c r="S148" s="2">
        <f>IF(C148="","",IF('data input for RPA'!I143="N","N",IF('data input for RPA'!J143="N",'data input for RPA'!L143,'data input for RPA'!K143)))</f>
      </c>
    </row>
    <row r="149" ht="12.75">
      <c r="S149" s="2">
        <f>IF(C149="","",IF('data input for RPA'!I144="N","N",IF('data input for RPA'!J144="N",'data input for RPA'!L144,'data input for RPA'!K144)))</f>
      </c>
    </row>
    <row r="150" ht="12.75">
      <c r="S150" s="2">
        <f>IF(C150="","",IF('data input for RPA'!I145="N","N",IF('data input for RPA'!J145="N",'data input for RPA'!L145,'data input for RPA'!K145)))</f>
      </c>
    </row>
    <row r="151" ht="12.75">
      <c r="S151" s="2">
        <f>IF(C151="","",IF('data input for RPA'!I146="N","N",IF('data input for RPA'!J146="N",'data input for RPA'!L146,'data input for RPA'!K146)))</f>
      </c>
    </row>
    <row r="152" ht="12.75">
      <c r="S152" s="2">
        <f>IF(C152="","",IF('data input for RPA'!I147="N","N",IF('data input for RPA'!J147="N",'data input for RPA'!L147,'data input for RPA'!K147)))</f>
      </c>
    </row>
    <row r="153" ht="12.75">
      <c r="S153" s="2">
        <f>IF(C153="","",IF('data input for RPA'!I148="N","N",IF('data input for RPA'!J148="N",'data input for RPA'!L148,'data input for RPA'!K148)))</f>
      </c>
    </row>
    <row r="154" ht="12.75">
      <c r="S154" s="2">
        <f>IF(C154="","",IF('data input for RPA'!I149="N","N",IF('data input for RPA'!J149="N",'data input for RPA'!L149,'data input for RPA'!K149)))</f>
      </c>
    </row>
    <row r="155" ht="12.75">
      <c r="S155" s="2">
        <f>IF(C155="","",IF('data input for RPA'!I150="N","N",IF('data input for RPA'!J150="N",'data input for RPA'!L150,'data input for RPA'!K150)))</f>
      </c>
    </row>
    <row r="156" ht="12.75">
      <c r="S156" s="2">
        <f>IF(C156="","",IF('data input for RPA'!I151="N","N",IF('data input for RPA'!J151="N",'data input for RPA'!L151,'data input for RPA'!K151)))</f>
      </c>
    </row>
    <row r="157" ht="12.75">
      <c r="S157" s="2">
        <f>IF(C157="","",IF('data input for RPA'!I152="N","N",IF('data input for RPA'!J152="N",'data input for RPA'!L152,'data input for RPA'!K152)))</f>
      </c>
    </row>
    <row r="158" ht="12.75">
      <c r="S158" s="2">
        <f>IF(C158="","",IF('data input for RPA'!I153="N","N",IF('data input for RPA'!J153="N",'data input for RPA'!L153,'data input for RPA'!K153)))</f>
      </c>
    </row>
    <row r="159" ht="12.75">
      <c r="S159" s="2">
        <f>IF(C159="","",IF('data input for RPA'!I154="N","N",IF('data input for RPA'!J154="N",'data input for RPA'!L154,'data input for RPA'!K154)))</f>
      </c>
    </row>
    <row r="160" ht="12.75">
      <c r="S160" s="2">
        <f>IF(C160="","",IF('data input for RPA'!I155="N","N",IF('data input for RPA'!J155="N",'data input for RPA'!L155,'data input for RPA'!K155)))</f>
      </c>
    </row>
    <row r="161" ht="12.75">
      <c r="S161" s="2">
        <f>IF(C161="","",IF('data input for RPA'!I156="N","N",IF('data input for RPA'!J156="N",'data input for RPA'!L156,'data input for RPA'!K156)))</f>
      </c>
    </row>
    <row r="162" ht="12.75">
      <c r="S162" s="2">
        <f>IF(C162="","",IF('data input for RPA'!I157="N","N",IF('data input for RPA'!J157="N",'data input for RPA'!L157,'data input for RPA'!K157)))</f>
      </c>
    </row>
    <row r="163" ht="12.75">
      <c r="S163" s="2">
        <f>IF(C163="","",IF('data input for RPA'!I158="N","N",IF('data input for RPA'!J158="N",'data input for RPA'!L158,'data input for RPA'!K158)))</f>
      </c>
    </row>
    <row r="164" ht="12.75">
      <c r="S164" s="2">
        <f>IF(C164="","",IF('data input for RPA'!I159="N","N",IF('data input for RPA'!J159="N",'data input for RPA'!L159,'data input for RPA'!K159)))</f>
      </c>
    </row>
    <row r="165" ht="12.75">
      <c r="S165" s="2">
        <f>IF(C165="","",IF('data input for RPA'!I160="N","N",IF('data input for RPA'!J160="N",'data input for RPA'!L160,'data input for RPA'!K160)))</f>
      </c>
    </row>
    <row r="166" ht="12.75">
      <c r="S166" s="2">
        <f>IF(C166="","",IF('data input for RPA'!I161="N","N",IF('data input for RPA'!J161="N",'data input for RPA'!L161,'data input for RPA'!K161)))</f>
      </c>
    </row>
    <row r="167" ht="12.75">
      <c r="S167" s="2">
        <f>IF(C167="","",IF('data input for RPA'!I162="N","N",IF('data input for RPA'!J162="N",'data input for RPA'!L162,'data input for RPA'!K162)))</f>
      </c>
    </row>
    <row r="168" ht="12.75">
      <c r="S168" s="2">
        <f>IF(C168="","",IF('data input for RPA'!I163="N","N",IF('data input for RPA'!J163="N",'data input for RPA'!L163,'data input for RPA'!K163)))</f>
      </c>
    </row>
    <row r="169" ht="12.75">
      <c r="S169" s="2">
        <f>IF(C169="","",IF('data input for RPA'!I164="N","N",IF('data input for RPA'!J164="N",'data input for RPA'!L164,'data input for RPA'!K164)))</f>
      </c>
    </row>
    <row r="170" ht="12.75">
      <c r="S170" s="2">
        <f>IF(C170="","",IF('data input for RPA'!I165="N","N",IF('data input for RPA'!J165="N",'data input for RPA'!L165,'data input for RPA'!K165)))</f>
      </c>
    </row>
    <row r="171" ht="12.75">
      <c r="S171" s="2">
        <f>IF(C171="","",IF('data input for RPA'!I166="N","N",IF('data input for RPA'!J166="N",'data input for RPA'!L166,'data input for RPA'!K166)))</f>
      </c>
    </row>
    <row r="172" ht="12.75">
      <c r="S172" s="2">
        <f>IF(C172="","",IF('data input for RPA'!I167="N","N",IF('data input for RPA'!J167="N",'data input for RPA'!L167,'data input for RPA'!K167)))</f>
      </c>
    </row>
    <row r="173" ht="12.75">
      <c r="S173" s="2">
        <f>IF(C173="","",IF('data input for RPA'!I168="N","N",IF('data input for RPA'!J168="N",'data input for RPA'!L168,'data input for RPA'!K168)))</f>
      </c>
    </row>
    <row r="174" ht="12.75">
      <c r="S174" s="2">
        <f>IF(C174="","",IF('data input for RPA'!I169="N","N",IF('data input for RPA'!J169="N",'data input for RPA'!L169,'data input for RPA'!K169)))</f>
      </c>
    </row>
    <row r="175" ht="12.75">
      <c r="S175" s="2">
        <f>IF(C175="","",IF('data input for RPA'!I170="N","N",IF('data input for RPA'!J170="N",'data input for RPA'!L170,'data input for RPA'!K170)))</f>
      </c>
    </row>
    <row r="176" ht="12.75">
      <c r="S176" s="2">
        <f>IF(C176="","",IF('data input for RPA'!I171="N","N",IF('data input for RPA'!J171="N",'data input for RPA'!L171,'data input for RPA'!K171)))</f>
      </c>
    </row>
    <row r="177" ht="12.75">
      <c r="S177" s="2">
        <f>IF(C177="","",IF('data input for RPA'!I172="N","N",IF('data input for RPA'!J172="N",'data input for RPA'!L172,'data input for RPA'!K172)))</f>
      </c>
    </row>
    <row r="178" ht="12.75">
      <c r="S178" s="2">
        <f>IF(C178="","",IF('data input for RPA'!I173="N","N",IF('data input for RPA'!J173="N",'data input for RPA'!L173,'data input for RPA'!K173)))</f>
      </c>
    </row>
    <row r="179" ht="12.75">
      <c r="S179" s="2">
        <f>IF(C179="","",IF('data input for RPA'!I174="N","N",IF('data input for RPA'!J174="N",'data input for RPA'!L174,'data input for RPA'!K174)))</f>
      </c>
    </row>
    <row r="180" ht="12.75">
      <c r="S180" s="2">
        <f>IF(C180="","",IF('data input for RPA'!I175="N","N",IF('data input for RPA'!J175="N",'data input for RPA'!L175,'data input for RPA'!K175)))</f>
      </c>
    </row>
    <row r="181" ht="12.75">
      <c r="S181" s="2">
        <f>IF(C181="","",IF('data input for RPA'!I176="N","N",IF('data input for RPA'!J176="N",'data input for RPA'!L176,'data input for RPA'!K176)))</f>
      </c>
    </row>
    <row r="182" ht="12.75">
      <c r="S182" s="2">
        <f>IF(C182="","",IF('data input for RPA'!I177="N","N",IF('data input for RPA'!J177="N",'data input for RPA'!L177,'data input for RPA'!K177)))</f>
      </c>
    </row>
    <row r="183" ht="12.75">
      <c r="S183" s="2">
        <f>IF(C183="","",IF('data input for RPA'!I178="N","N",IF('data input for RPA'!J178="N",'data input for RPA'!L178,'data input for RPA'!K178)))</f>
      </c>
    </row>
    <row r="184" ht="12.75">
      <c r="S184" s="2">
        <f>IF(C184="","",IF('data input for RPA'!I179="N","N",IF('data input for RPA'!J179="N",'data input for RPA'!L179,'data input for RPA'!K179)))</f>
      </c>
    </row>
    <row r="185" ht="12.75">
      <c r="S185" s="2">
        <f>IF(C185="","",IF('data input for RPA'!I180="N","N",IF('data input for RPA'!J180="N",'data input for RPA'!L180,'data input for RPA'!K180)))</f>
      </c>
    </row>
    <row r="186" ht="12.75">
      <c r="S186" s="2">
        <f>IF(C186="","",IF('data input for RPA'!I181="N","N",IF('data input for RPA'!J181="N",'data input for RPA'!L181,'data input for RPA'!K181)))</f>
      </c>
    </row>
    <row r="187" ht="12.75">
      <c r="S187" s="2">
        <f>IF(C187="","",IF('data input for RPA'!I182="N","N",IF('data input for RPA'!J182="N",'data input for RPA'!L182,'data input for RPA'!K182)))</f>
      </c>
    </row>
    <row r="188" ht="12.75">
      <c r="S188" s="2">
        <f>IF(C188="","",IF('data input for RPA'!I183="N","N",IF('data input for RPA'!J183="N",'data input for RPA'!L183,'data input for RPA'!K183)))</f>
      </c>
    </row>
    <row r="189" ht="12.75">
      <c r="S189" s="2">
        <f>IF(C189="","",IF('data input for RPA'!I184="N","N",IF('data input for RPA'!J184="N",'data input for RPA'!L184,'data input for RPA'!K184)))</f>
      </c>
    </row>
    <row r="190" ht="12.75">
      <c r="S190" s="2">
        <f>IF(C190="","",IF('data input for RPA'!I185="N","N",IF('data input for RPA'!J185="N",'data input for RPA'!L185,'data input for RPA'!K185)))</f>
      </c>
    </row>
    <row r="191" ht="12.75">
      <c r="S191" s="2">
        <f>IF(C191="","",IF('data input for RPA'!I186="N","N",IF('data input for RPA'!J186="N",'data input for RPA'!L186,'data input for RPA'!K186)))</f>
      </c>
    </row>
    <row r="192" ht="12.75">
      <c r="S192" s="2">
        <f>IF(C192="","",IF('data input for RPA'!I187="N","N",IF('data input for RPA'!J187="N",'data input for RPA'!L187,'data input for RPA'!K187)))</f>
      </c>
    </row>
    <row r="193" ht="12.75">
      <c r="S193" s="2">
        <f>IF(C193="","",IF('data input for RPA'!I188="N","N",IF('data input for RPA'!J188="N",'data input for RPA'!L188,'data input for RPA'!K188)))</f>
      </c>
    </row>
    <row r="194" ht="12.75">
      <c r="S194" s="2">
        <f>IF(C194="","",IF('data input for RPA'!I189="N","N",IF('data input for RPA'!J189="N",'data input for RPA'!L189,'data input for RPA'!K189)))</f>
      </c>
    </row>
    <row r="195" ht="12.75">
      <c r="S195" s="2">
        <f>IF(C195="","",IF('data input for RPA'!I190="N","N",IF('data input for RPA'!J190="N",'data input for RPA'!L190,'data input for RPA'!K190)))</f>
      </c>
    </row>
    <row r="196" ht="12.75">
      <c r="S196" s="2">
        <f>IF(C196="","",IF('data input for RPA'!I191="N","N",IF('data input for RPA'!J191="N",'data input for RPA'!L191,'data input for RPA'!K191)))</f>
      </c>
    </row>
    <row r="197" ht="12.75">
      <c r="S197" s="2">
        <f>IF(C197="","",IF('data input for RPA'!I192="N","N",IF('data input for RPA'!J192="N",'data input for RPA'!L192,'data input for RPA'!K192)))</f>
      </c>
    </row>
    <row r="198" ht="12.75">
      <c r="S198" s="2">
        <f>IF(C198="","",IF('data input for RPA'!I193="N","N",IF('data input for RPA'!J193="N",'data input for RPA'!L193,'data input for RPA'!K193)))</f>
      </c>
    </row>
    <row r="199" ht="12.75">
      <c r="S199" s="2">
        <f>IF(C199="","",IF('data input for RPA'!I194="N","N",IF('data input for RPA'!J194="N",'data input for RPA'!L194,'data input for RPA'!K194)))</f>
      </c>
    </row>
    <row r="200" ht="12.75">
      <c r="S200" s="2">
        <f>IF(C200="","",IF('data input for RPA'!I195="N","N",IF('data input for RPA'!J195="N",'data input for RPA'!L195,'data input for RPA'!K195)))</f>
      </c>
    </row>
    <row r="201" ht="12.75">
      <c r="S201" s="2">
        <f>IF(C201="","",IF('data input for RPA'!I196="N","N",IF('data input for RPA'!J196="N",'data input for RPA'!L196,'data input for RPA'!K196)))</f>
      </c>
    </row>
    <row r="202" ht="12.75">
      <c r="S202" s="2">
        <f>IF(C202="","",IF('data input for RPA'!I197="N","N",IF('data input for RPA'!J197="N",'data input for RPA'!L197,'data input for RPA'!K197)))</f>
      </c>
    </row>
    <row r="203" ht="12.75">
      <c r="S203" s="2">
        <f>IF(C203="","",IF('data input for RPA'!I198="N","N",IF('data input for RPA'!J198="N",'data input for RPA'!L198,'data input for RPA'!K198)))</f>
      </c>
    </row>
    <row r="204" ht="12.75">
      <c r="S204" s="2">
        <f>IF(C204="","",IF('data input for RPA'!I199="N","N",IF('data input for RPA'!J199="N",'data input for RPA'!L199,'data input for RPA'!K199)))</f>
      </c>
    </row>
    <row r="205" ht="12.75">
      <c r="S205" s="2">
        <f>IF(C205="","",IF('data input for RPA'!I200="N","N",IF('data input for RPA'!J200="N",'data input for RPA'!L200,'data input for RPA'!K200)))</f>
      </c>
    </row>
    <row r="206" ht="12.75">
      <c r="S206" s="2">
        <f>IF(C206="","",IF('data input for RPA'!I201="N","N",IF('data input for RPA'!J201="N",'data input for RPA'!L201,'data input for RPA'!K201)))</f>
      </c>
    </row>
    <row r="207" ht="12.75">
      <c r="S207" s="2">
        <f>IF(C207="","",IF('data input for RPA'!I202="N","N",IF('data input for RPA'!J202="N",'data input for RPA'!L202,'data input for RPA'!K202)))</f>
      </c>
    </row>
    <row r="208" ht="12.75">
      <c r="S208" s="2">
        <f>IF(C208="","",IF('data input for RPA'!I203="N","N",IF('data input for RPA'!J203="N",'data input for RPA'!L203,'data input for RPA'!K203)))</f>
      </c>
    </row>
    <row r="209" ht="12.75">
      <c r="S209" s="2">
        <f>IF(C209="","",IF('data input for RPA'!I204="N","N",IF('data input for RPA'!J204="N",'data input for RPA'!L204,'data input for RPA'!K204)))</f>
      </c>
    </row>
    <row r="210" ht="12.75">
      <c r="S210" s="2">
        <f>IF(C210="","",IF('data input for RPA'!I205="N","N",IF('data input for RPA'!J205="N",'data input for RPA'!L205,'data input for RPA'!K205)))</f>
      </c>
    </row>
    <row r="211" ht="12.75">
      <c r="S211" s="2">
        <f>IF(C211="","",IF('data input for RPA'!I206="N","N",IF('data input for RPA'!J206="N",'data input for RPA'!L206,'data input for RPA'!K206)))</f>
      </c>
    </row>
    <row r="212" ht="12.75">
      <c r="S212" s="2">
        <f>IF(C212="","",IF('data input for RPA'!I207="N","N",IF('data input for RPA'!J207="N",'data input for RPA'!L207,'data input for RPA'!K207)))</f>
      </c>
    </row>
    <row r="213" ht="12.75">
      <c r="S213" s="2">
        <f>IF(C213="","",IF('data input for RPA'!I208="N","N",IF('data input for RPA'!J208="N",'data input for RPA'!L208,'data input for RPA'!K208)))</f>
      </c>
    </row>
    <row r="214" ht="12.75">
      <c r="S214" s="2">
        <f>IF(C214="","",IF('data input for RPA'!I209="N","N",IF('data input for RPA'!J209="N",'data input for RPA'!L209,'data input for RPA'!K209)))</f>
      </c>
    </row>
    <row r="215" ht="12.75">
      <c r="S215" s="2">
        <f>IF(C215="","",IF('data input for RPA'!I210="N","N",IF('data input for RPA'!J210="N",'data input for RPA'!L210,'data input for RPA'!K210)))</f>
      </c>
    </row>
    <row r="216" ht="12.75">
      <c r="S216" s="2">
        <f>IF(C216="","",IF('data input for RPA'!I211="N","N",IF('data input for RPA'!J211="N",'data input for RPA'!L211,'data input for RPA'!K211)))</f>
      </c>
    </row>
    <row r="217" ht="12.75">
      <c r="S217" s="2">
        <f>IF(C217="","",IF('data input for RPA'!I212="N","N",IF('data input for RPA'!J212="N",'data input for RPA'!L212,'data input for RPA'!K212)))</f>
      </c>
    </row>
    <row r="218" ht="12.75">
      <c r="S218" s="2">
        <f>IF(C218="","",IF('data input for RPA'!I213="N","N",IF('data input for RPA'!J213="N",'data input for RPA'!L213,'data input for RPA'!K213)))</f>
      </c>
    </row>
    <row r="219" ht="12.75">
      <c r="S219" s="2">
        <f>IF(C219="","",IF('data input for RPA'!I214="N","N",IF('data input for RPA'!J214="N",'data input for RPA'!L214,'data input for RPA'!K214)))</f>
      </c>
    </row>
    <row r="220" ht="12.75">
      <c r="S220" s="2">
        <f>IF(C220="","",IF('data input for RPA'!I215="N","N",IF('data input for RPA'!J215="N",'data input for RPA'!L215,'data input for RPA'!K215)))</f>
      </c>
    </row>
    <row r="221" ht="12.75">
      <c r="S221" s="2">
        <f>IF(C221="","",IF('data input for RPA'!I216="N","N",IF('data input for RPA'!J216="N",'data input for RPA'!L216,'data input for RPA'!K216)))</f>
      </c>
    </row>
    <row r="222" ht="12.75">
      <c r="S222" s="2">
        <f>IF(C222="","",IF('data input for RPA'!I217="N","N",IF('data input for RPA'!J217="N",'data input for RPA'!L217,'data input for RPA'!K217)))</f>
      </c>
    </row>
    <row r="223" ht="12.75">
      <c r="S223" s="2">
        <f>IF(C223="","",IF('data input for RPA'!I218="N","N",IF('data input for RPA'!J218="N",'data input for RPA'!L218,'data input for RPA'!K218)))</f>
      </c>
    </row>
    <row r="224" ht="12.75">
      <c r="S224" s="2">
        <f>IF(C224="","",IF('data input for RPA'!I219="N","N",IF('data input for RPA'!J219="N",'data input for RPA'!L219,'data input for RPA'!K219)))</f>
      </c>
    </row>
    <row r="225" ht="12.75">
      <c r="S225" s="2">
        <f>IF(C225="","",IF('data input for RPA'!I220="N","N",IF('data input for RPA'!J220="N",'data input for RPA'!L220,'data input for RPA'!K220)))</f>
      </c>
    </row>
    <row r="226" ht="12.75">
      <c r="S226" s="2">
        <f>IF(C226="","",IF('data input for RPA'!I221="N","N",IF('data input for RPA'!J221="N",'data input for RPA'!L221,'data input for RPA'!K221)))</f>
      </c>
    </row>
    <row r="227" ht="12.75">
      <c r="S227" s="2">
        <f>IF(C227="","",IF('data input for RPA'!I222="N","N",IF('data input for RPA'!J222="N",'data input for RPA'!L222,'data input for RPA'!K222)))</f>
      </c>
    </row>
    <row r="228" ht="12.75">
      <c r="S228" s="2">
        <f>IF(C228="","",IF('data input for RPA'!I223="N","N",IF('data input for RPA'!J223="N",'data input for RPA'!L223,'data input for RPA'!K223)))</f>
      </c>
    </row>
    <row r="229" ht="12.75">
      <c r="S229" s="2">
        <f>IF(C229="","",IF('data input for RPA'!I224="N","N",IF('data input for RPA'!J224="N",'data input for RPA'!L224,'data input for RPA'!K224)))</f>
      </c>
    </row>
    <row r="230" ht="12.75">
      <c r="S230" s="2">
        <f>IF(C230="","",IF('data input for RPA'!I225="N","N",IF('data input for RPA'!J225="N",'data input for RPA'!L225,'data input for RPA'!K225)))</f>
      </c>
    </row>
    <row r="231" ht="12.75">
      <c r="S231" s="2">
        <f>IF(C231="","",IF('data input for RPA'!I226="N","N",IF('data input for RPA'!J226="N",'data input for RPA'!L226,'data input for RPA'!K226)))</f>
      </c>
    </row>
    <row r="232" ht="12.75">
      <c r="S232" s="2">
        <f>IF(C232="","",IF('data input for RPA'!I227="N","N",IF('data input for RPA'!J227="N",'data input for RPA'!L227,'data input for RPA'!K227)))</f>
      </c>
    </row>
    <row r="233" ht="12.75">
      <c r="S233" s="2">
        <f>IF(C233="","",IF('data input for RPA'!I228="N","N",IF('data input for RPA'!J228="N",'data input for RPA'!L228,'data input for RPA'!K228)))</f>
      </c>
    </row>
    <row r="234" ht="12.75">
      <c r="S234" s="2">
        <f>IF(C234="","",IF('data input for RPA'!I229="N","N",IF('data input for RPA'!J229="N",'data input for RPA'!L229,'data input for RPA'!K229)))</f>
      </c>
    </row>
    <row r="235" ht="12.75">
      <c r="S235" s="2">
        <f>IF(C235="","",IF('data input for RPA'!I230="N","N",IF('data input for RPA'!J230="N",'data input for RPA'!L230,'data input for RPA'!K230)))</f>
      </c>
    </row>
    <row r="236" ht="12.75">
      <c r="S236" s="2">
        <f>IF(C236="","",IF('data input for RPA'!I231="N","N",IF('data input for RPA'!J231="N",'data input for RPA'!L231,'data input for RPA'!K231)))</f>
      </c>
    </row>
    <row r="237" ht="12.75">
      <c r="S237" s="2">
        <f>IF(C237="","",IF('data input for RPA'!I232="N","N",IF('data input for RPA'!J232="N",'data input for RPA'!L232,'data input for RPA'!K232)))</f>
      </c>
    </row>
    <row r="238" ht="12.75">
      <c r="S238" s="2">
        <f>IF(C238="","",IF('data input for RPA'!I233="N","N",IF('data input for RPA'!J233="N",'data input for RPA'!L233,'data input for RPA'!K233)))</f>
      </c>
    </row>
    <row r="239" ht="12.75">
      <c r="S239" s="2">
        <f>IF(C239="","",IF('data input for RPA'!I234="N","N",IF('data input for RPA'!J234="N",'data input for RPA'!L234,'data input for RPA'!K234)))</f>
      </c>
    </row>
    <row r="240" ht="12.75">
      <c r="S240" s="2">
        <f>IF(C240="","",IF('data input for RPA'!I235="N","N",IF('data input for RPA'!J235="N",'data input for RPA'!L235,'data input for RPA'!K235)))</f>
      </c>
    </row>
    <row r="241" ht="12.75">
      <c r="S241" s="2">
        <f>IF(C241="","",IF('data input for RPA'!I236="N","N",IF('data input for RPA'!J236="N",'data input for RPA'!L236,'data input for RPA'!K236)))</f>
      </c>
    </row>
    <row r="242" ht="12.75">
      <c r="S242" s="2">
        <f>IF(C242="","",IF('data input for RPA'!I237="N","N",IF('data input for RPA'!J237="N",'data input for RPA'!L237,'data input for RPA'!K237)))</f>
      </c>
    </row>
    <row r="243" ht="12.75">
      <c r="S243" s="2">
        <f>IF(C243="","",IF('data input for RPA'!I238="N","N",IF('data input for RPA'!J238="N",'data input for RPA'!L238,'data input for RPA'!K238)))</f>
      </c>
    </row>
    <row r="244" ht="12.75">
      <c r="S244" s="2">
        <f>IF(C244="","",IF('data input for RPA'!I239="N","N",IF('data input for RPA'!J239="N",'data input for RPA'!L239,'data input for RPA'!K239)))</f>
      </c>
    </row>
    <row r="245" ht="12.75">
      <c r="S245" s="2">
        <f>IF(C245="","",IF('data input for RPA'!I240="N","N",IF('data input for RPA'!J240="N",'data input for RPA'!L240,'data input for RPA'!K240)))</f>
      </c>
    </row>
    <row r="246" ht="12.75">
      <c r="S246" s="2">
        <f>IF(C246="","",IF('data input for RPA'!I241="N","N",IF('data input for RPA'!J241="N",'data input for RPA'!L241,'data input for RPA'!K241)))</f>
      </c>
    </row>
    <row r="247" ht="12.75">
      <c r="S247" s="2">
        <f>IF(C247="","",IF('data input for RPA'!I242="N","N",IF('data input for RPA'!J242="N",'data input for RPA'!L242,'data input for RPA'!K242)))</f>
      </c>
    </row>
    <row r="248" ht="12.75">
      <c r="S248" s="2">
        <f>IF(C248="","",IF('data input for RPA'!I243="N","N",IF('data input for RPA'!J243="N",'data input for RPA'!L243,'data input for RPA'!K243)))</f>
      </c>
    </row>
    <row r="249" ht="12.75">
      <c r="S249" s="2">
        <f>IF(C249="","",IF('data input for RPA'!I244="N","N",IF('data input for RPA'!J244="N",'data input for RPA'!L244,'data input for RPA'!K244)))</f>
      </c>
    </row>
    <row r="250" ht="12.75">
      <c r="S250" s="2">
        <f>IF(C250="","",IF('data input for RPA'!I245="N","N",IF('data input for RPA'!J245="N",'data input for RPA'!L245,'data input for RPA'!K245)))</f>
      </c>
    </row>
    <row r="251" ht="12.75">
      <c r="S251" s="2">
        <f>IF(C251="","",IF('data input for RPA'!I246="N","N",IF('data input for RPA'!J246="N",'data input for RPA'!L246,'data input for RPA'!K246)))</f>
      </c>
    </row>
    <row r="252" ht="12.75">
      <c r="S252" s="2">
        <f>IF(C252="","",IF('data input for RPA'!I247="N","N",IF('data input for RPA'!J247="N",'data input for RPA'!L247,'data input for RPA'!K247)))</f>
      </c>
    </row>
    <row r="253" ht="12.75">
      <c r="S253" s="2">
        <f>IF(C253="","",IF('data input for RPA'!I248="N","N",IF('data input for RPA'!J248="N",'data input for RPA'!L248,'data input for RPA'!K248)))</f>
      </c>
    </row>
    <row r="254" ht="12.75">
      <c r="S254" s="2">
        <f>IF(C254="","",IF('data input for RPA'!I249="N","N",IF('data input for RPA'!J249="N",'data input for RPA'!L249,'data input for RPA'!K249)))</f>
      </c>
    </row>
    <row r="255" ht="12.75">
      <c r="S255" s="2">
        <f>IF(C255="","",IF('data input for RPA'!I250="N","N",IF('data input for RPA'!J250="N",'data input for RPA'!L250,'data input for RPA'!K250)))</f>
      </c>
    </row>
    <row r="256" ht="12.75">
      <c r="S256" s="2">
        <f>IF(C256="","",IF('data input for RPA'!I251="N","N",IF('data input for RPA'!J251="N",'data input for RPA'!L251,'data input for RPA'!K251)))</f>
      </c>
    </row>
    <row r="257" ht="12.75">
      <c r="S257" s="2">
        <f>IF(C257="","",IF('data input for RPA'!I252="N","N",IF('data input for RPA'!J252="N",'data input for RPA'!L252,'data input for RPA'!K252)))</f>
      </c>
    </row>
    <row r="258" ht="12.75">
      <c r="S258" s="2">
        <f>IF(C258="","",IF('data input for RPA'!I253="N","N",IF('data input for RPA'!J253="N",'data input for RPA'!L253,'data input for RPA'!K253)))</f>
      </c>
    </row>
    <row r="259" ht="12.75">
      <c r="S259" s="2">
        <f>IF(C259="","",IF('data input for RPA'!I254="N","N",IF('data input for RPA'!J254="N",'data input for RPA'!L254,'data input for RPA'!K254)))</f>
      </c>
    </row>
    <row r="260" ht="12.75">
      <c r="S260" s="2">
        <f>IF(C260="","",IF('data input for RPA'!I255="N","N",IF('data input for RPA'!J255="N",'data input for RPA'!L255,'data input for RPA'!K255)))</f>
      </c>
    </row>
    <row r="261" ht="12.75">
      <c r="S261" s="2">
        <f>IF(C261="","",IF('data input for RPA'!I256="N","N",IF('data input for RPA'!J256="N",'data input for RPA'!L256,'data input for RPA'!K256)))</f>
      </c>
    </row>
    <row r="262" ht="12.75">
      <c r="S262" s="2">
        <f>IF(C262="","",IF('data input for RPA'!I257="N","N",IF('data input for RPA'!J257="N",'data input for RPA'!L257,'data input for RPA'!K257)))</f>
      </c>
    </row>
    <row r="263" ht="12.75">
      <c r="S263" s="2">
        <f>IF(C263="","",IF('data input for RPA'!I258="N","N",IF('data input for RPA'!J258="N",'data input for RPA'!L258,'data input for RPA'!K258)))</f>
      </c>
    </row>
    <row r="264" ht="12.75">
      <c r="S264" s="2">
        <f>IF(C264="","",IF('data input for RPA'!I259="N","N",IF('data input for RPA'!J259="N",'data input for RPA'!L259,'data input for RPA'!K259)))</f>
      </c>
    </row>
    <row r="265" ht="12.75">
      <c r="S265" s="2">
        <f>IF(C265="","",IF('data input for RPA'!I260="N","N",IF('data input for RPA'!J260="N",'data input for RPA'!L260,'data input for RPA'!K260)))</f>
      </c>
    </row>
    <row r="266" ht="12.75">
      <c r="S266" s="2">
        <f>IF(C266="","",IF('data input for RPA'!I261="N","N",IF('data input for RPA'!J261="N",'data input for RPA'!L261,'data input for RPA'!K261)))</f>
      </c>
    </row>
    <row r="267" ht="12.75">
      <c r="S267" s="2">
        <f>IF(C267="","",IF('data input for RPA'!I262="N","N",IF('data input for RPA'!J262="N",'data input for RPA'!L262,'data input for RPA'!K262)))</f>
      </c>
    </row>
    <row r="268" ht="12.75">
      <c r="S268" s="2">
        <f>IF(C268="","",IF('data input for RPA'!I263="N","N",IF('data input for RPA'!J263="N",'data input for RPA'!L263,'data input for RPA'!K263)))</f>
      </c>
    </row>
    <row r="269" ht="12.75">
      <c r="S269" s="2">
        <f>IF(C269="","",IF('data input for RPA'!I264="N","N",IF('data input for RPA'!J264="N",'data input for RPA'!L264,'data input for RPA'!K264)))</f>
      </c>
    </row>
    <row r="270" ht="12.75">
      <c r="S270" s="2">
        <f>IF(C270="","",IF('data input for RPA'!I265="N","N",IF('data input for RPA'!J265="N",'data input for RPA'!L265,'data input for RPA'!K265)))</f>
      </c>
    </row>
    <row r="271" ht="12.75">
      <c r="S271" s="2">
        <f>IF(C271="","",IF('data input for RPA'!I266="N","N",IF('data input for RPA'!J266="N",'data input for RPA'!L266,'data input for RPA'!K266)))</f>
      </c>
    </row>
    <row r="272" ht="12.75">
      <c r="S272" s="2">
        <f>IF(C272="","",IF('data input for RPA'!I267="N","N",IF('data input for RPA'!J267="N",'data input for RPA'!L267,'data input for RPA'!K267)))</f>
      </c>
    </row>
    <row r="273" ht="12.75">
      <c r="S273" s="2">
        <f>IF(C273="","",IF('data input for RPA'!I268="N","N",IF('data input for RPA'!J268="N",'data input for RPA'!L268,'data input for RPA'!K268)))</f>
      </c>
    </row>
    <row r="274" ht="12.75">
      <c r="S274" s="2">
        <f>IF(C274="","",IF('data input for RPA'!I269="N","N",IF('data input for RPA'!J269="N",'data input for RPA'!L269,'data input for RPA'!K269)))</f>
      </c>
    </row>
    <row r="275" ht="12.75">
      <c r="S275" s="2">
        <f>IF(C275="","",IF('data input for RPA'!I270="N","N",IF('data input for RPA'!J270="N",'data input for RPA'!L270,'data input for RPA'!K270)))</f>
      </c>
    </row>
    <row r="276" ht="12.75">
      <c r="S276" s="2">
        <f>IF(C276="","",IF('data input for RPA'!I271="N","N",IF('data input for RPA'!J271="N",'data input for RPA'!L271,'data input for RPA'!K271)))</f>
      </c>
    </row>
    <row r="277" ht="12.75">
      <c r="S277" s="2">
        <f>IF(C277="","",IF('data input for RPA'!I272="N","N",IF('data input for RPA'!J272="N",'data input for RPA'!L272,'data input for RPA'!K272)))</f>
      </c>
    </row>
    <row r="278" ht="12.75">
      <c r="S278" s="2">
        <f>IF(C278="","",IF('data input for RPA'!I273="N","N",IF('data input for RPA'!J273="N",'data input for RPA'!L273,'data input for RPA'!K273)))</f>
      </c>
    </row>
    <row r="279" ht="12.75">
      <c r="S279" s="2">
        <f>IF(C279="","",IF('data input for RPA'!I274="N","N",IF('data input for RPA'!J274="N",'data input for RPA'!L274,'data input for RPA'!K274)))</f>
      </c>
    </row>
    <row r="280" ht="12.75">
      <c r="S280" s="2">
        <f>IF(C280="","",IF('data input for RPA'!I275="N","N",IF('data input for RPA'!J275="N",'data input for RPA'!L275,'data input for RPA'!K275)))</f>
      </c>
    </row>
    <row r="281" ht="12.75">
      <c r="S281" s="2">
        <f>IF(C281="","",IF('data input for RPA'!I276="N","N",IF('data input for RPA'!J276="N",'data input for RPA'!L276,'data input for RPA'!K276)))</f>
      </c>
    </row>
    <row r="282" ht="12.75">
      <c r="S282" s="2">
        <f>IF(C282="","",IF('data input for RPA'!I277="N","N",IF('data input for RPA'!J277="N",'data input for RPA'!L277,'data input for RPA'!K277)))</f>
      </c>
    </row>
    <row r="283" ht="12.75">
      <c r="S283" s="2">
        <f>IF(C283="","",IF('data input for RPA'!I278="N","N",IF('data input for RPA'!J278="N",'data input for RPA'!L278,'data input for RPA'!K278)))</f>
      </c>
    </row>
    <row r="284" ht="12.75">
      <c r="S284" s="2">
        <f>IF(C284="","",IF('data input for RPA'!I279="N","N",IF('data input for RPA'!J279="N",'data input for RPA'!L279,'data input for RPA'!K279)))</f>
      </c>
    </row>
    <row r="285" ht="12.75">
      <c r="S285" s="2">
        <f>IF(C285="","",IF('data input for RPA'!I280="N","N",IF('data input for RPA'!J280="N",'data input for RPA'!L280,'data input for RPA'!K280)))</f>
      </c>
    </row>
    <row r="286" ht="12.75">
      <c r="S286" s="2">
        <f>IF(C286="","",IF('data input for RPA'!I281="N","N",IF('data input for RPA'!J281="N",'data input for RPA'!L281,'data input for RPA'!K281)))</f>
      </c>
    </row>
    <row r="287" ht="12.75">
      <c r="S287" s="2">
        <f>IF(C287="","",IF('data input for RPA'!I282="N","N",IF('data input for RPA'!J282="N",'data input for RPA'!L282,'data input for RPA'!K282)))</f>
      </c>
    </row>
    <row r="288" ht="12.75">
      <c r="S288" s="2">
        <f>IF(C288="","",IF('data input for RPA'!I283="N","N",IF('data input for RPA'!J283="N",'data input for RPA'!L283,'data input for RPA'!K283)))</f>
      </c>
    </row>
    <row r="289" ht="12.75">
      <c r="S289" s="2">
        <f>IF(C289="","",IF('data input for RPA'!I284="N","N",IF('data input for RPA'!J284="N",'data input for RPA'!L284,'data input for RPA'!K284)))</f>
      </c>
    </row>
    <row r="290" ht="12.75">
      <c r="S290" s="2">
        <f>IF(C290="","",IF('data input for RPA'!I285="N","N",IF('data input for RPA'!J285="N",'data input for RPA'!L285,'data input for RPA'!K285)))</f>
      </c>
    </row>
    <row r="291" ht="12.75">
      <c r="S291" s="2">
        <f>IF(C291="","",IF('data input for RPA'!I286="N","N",IF('data input for RPA'!J286="N",'data input for RPA'!L286,'data input for RPA'!K286)))</f>
      </c>
    </row>
    <row r="292" ht="12.75">
      <c r="S292" s="2">
        <f>IF(C292="","",IF('data input for RPA'!I287="N","N",IF('data input for RPA'!J287="N",'data input for RPA'!L287,'data input for RPA'!K287)))</f>
      </c>
    </row>
    <row r="293" ht="12.75">
      <c r="S293" s="2">
        <f>IF(C293="","",IF('data input for RPA'!I288="N","N",IF('data input for RPA'!J288="N",'data input for RPA'!L288,'data input for RPA'!K288)))</f>
      </c>
    </row>
    <row r="294" ht="12.75">
      <c r="S294" s="2">
        <f>IF(C294="","",IF('data input for RPA'!I289="N","N",IF('data input for RPA'!J289="N",'data input for RPA'!L289,'data input for RPA'!K289)))</f>
      </c>
    </row>
    <row r="295" ht="12.75">
      <c r="S295" s="2">
        <f>IF(C295="","",IF('data input for RPA'!I290="N","N",IF('data input for RPA'!J290="N",'data input for RPA'!L290,'data input for RPA'!K290)))</f>
      </c>
    </row>
    <row r="296" ht="12.75">
      <c r="S296" s="2">
        <f>IF(C296="","",IF('data input for RPA'!I291="N","N",IF('data input for RPA'!J291="N",'data input for RPA'!L291,'data input for RPA'!K291)))</f>
      </c>
    </row>
    <row r="297" ht="12.75">
      <c r="S297" s="2">
        <f>IF(C297="","",IF('data input for RPA'!I292="N","N",IF('data input for RPA'!J292="N",'data input for RPA'!L292,'data input for RPA'!K292)))</f>
      </c>
    </row>
    <row r="298" ht="12.75">
      <c r="S298" s="2">
        <f>IF(C298="","",IF('data input for RPA'!I293="N","N",IF('data input for RPA'!J293="N",'data input for RPA'!L293,'data input for RPA'!K293)))</f>
      </c>
    </row>
    <row r="299" ht="12.75">
      <c r="S299" s="2">
        <f>IF(C299="","",IF('data input for RPA'!I294="N","N",IF('data input for RPA'!J294="N",'data input for RPA'!L294,'data input for RPA'!K294)))</f>
      </c>
    </row>
    <row r="300" ht="12.75">
      <c r="S300" s="2">
        <f>IF(C300="","",IF('data input for RPA'!I295="N","N",IF('data input for RPA'!J295="N",'data input for RPA'!L295,'data input for RPA'!K295)))</f>
      </c>
    </row>
    <row r="301" ht="12.75">
      <c r="S301" s="2">
        <f>IF(C301="","",IF('data input for RPA'!I296="N","N",IF('data input for RPA'!J296="N",'data input for RPA'!L296,'data input for RPA'!K296)))</f>
      </c>
    </row>
    <row r="302" ht="12.75">
      <c r="S302" s="2">
        <f>IF(C302="","",IF('data input for RPA'!I297="N","N",IF('data input for RPA'!J297="N",'data input for RPA'!L297,'data input for RPA'!K297)))</f>
      </c>
    </row>
    <row r="303" ht="12.75">
      <c r="S303" s="2">
        <f>IF(C303="","",IF('data input for RPA'!I298="N","N",IF('data input for RPA'!J298="N",'data input for RPA'!L298,'data input for RPA'!K298)))</f>
      </c>
    </row>
    <row r="304" ht="12.75">
      <c r="S304" s="2">
        <f>IF(C304="","",IF('data input for RPA'!I299="N","N",IF('data input for RPA'!J299="N",'data input for RPA'!L299,'data input for RPA'!K299)))</f>
      </c>
    </row>
    <row r="305" ht="12.75">
      <c r="S305" s="2">
        <f>IF(C305="","",IF('data input for RPA'!I300="N","N",IF('data input for RPA'!J300="N",'data input for RPA'!L300,'data input for RPA'!K300)))</f>
      </c>
    </row>
    <row r="306" ht="12.75">
      <c r="S306" s="2">
        <f>IF(C306="","",IF('data input for RPA'!I301="N","N",IF('data input for RPA'!J301="N",'data input for RPA'!L301,'data input for RPA'!K301)))</f>
      </c>
    </row>
    <row r="307" ht="12.75">
      <c r="S307" s="2">
        <f>IF(C307="","",IF('data input for RPA'!I302="N","N",IF('data input for RPA'!J302="N",'data input for RPA'!L302,'data input for RPA'!K302)))</f>
      </c>
    </row>
    <row r="308" ht="12.75">
      <c r="S308" s="2">
        <f>IF(C308="","",IF('data input for RPA'!I303="N","N",IF('data input for RPA'!J303="N",'data input for RPA'!L303,'data input for RPA'!K303)))</f>
      </c>
    </row>
    <row r="309" ht="12.75">
      <c r="S309" s="2">
        <f>IF(C309="","",IF('data input for RPA'!I304="N","N",IF('data input for RPA'!J304="N",'data input for RPA'!L304,'data input for RPA'!K304)))</f>
      </c>
    </row>
    <row r="310" ht="12.75">
      <c r="S310" s="2">
        <f>IF(C310="","",IF('data input for RPA'!I305="N","N",IF('data input for RPA'!J305="N",'data input for RPA'!L305,'data input for RPA'!K305)))</f>
      </c>
    </row>
    <row r="311" ht="12.75">
      <c r="S311" s="2">
        <f>IF(C311="","",IF('data input for RPA'!I306="N","N",IF('data input for RPA'!J306="N",'data input for RPA'!L306,'data input for RPA'!K306)))</f>
      </c>
    </row>
    <row r="312" ht="12.75">
      <c r="S312" s="2">
        <f>IF(C312="","",IF('data input for RPA'!I307="N","N",IF('data input for RPA'!J307="N",'data input for RPA'!L307,'data input for RPA'!K307)))</f>
      </c>
    </row>
    <row r="313" ht="12.75">
      <c r="S313" s="2">
        <f>IF(C313="","",IF('data input for RPA'!I308="N","N",IF('data input for RPA'!J308="N",'data input for RPA'!L308,'data input for RPA'!K308)))</f>
      </c>
    </row>
    <row r="314" ht="12.75">
      <c r="S314" s="2">
        <f>IF(C314="","",IF('data input for RPA'!I309="N","N",IF('data input for RPA'!J309="N",'data input for RPA'!L309,'data input for RPA'!K309)))</f>
      </c>
    </row>
    <row r="315" ht="12.75">
      <c r="S315" s="2">
        <f>IF(C315="","",IF('data input for RPA'!I310="N","N",IF('data input for RPA'!J310="N",'data input for RPA'!L310,'data input for RPA'!K310)))</f>
      </c>
    </row>
    <row r="316" ht="12.75">
      <c r="S316" s="2">
        <f>IF(C316="","",IF('data input for RPA'!I311="N","N",IF('data input for RPA'!J311="N",'data input for RPA'!L311,'data input for RPA'!K311)))</f>
      </c>
    </row>
    <row r="317" ht="12.75">
      <c r="S317" s="2">
        <f>IF(C317="","",IF('data input for RPA'!I312="N","N",IF('data input for RPA'!J312="N",'data input for RPA'!L312,'data input for RPA'!K312)))</f>
      </c>
    </row>
    <row r="318" ht="12.75">
      <c r="S318" s="2">
        <f>IF(C318="","",IF('data input for RPA'!I313="N","N",IF('data input for RPA'!J313="N",'data input for RPA'!L313,'data input for RPA'!K313)))</f>
      </c>
    </row>
    <row r="319" ht="12.75">
      <c r="S319" s="2">
        <f>IF(C319="","",IF('data input for RPA'!I314="N","N",IF('data input for RPA'!J314="N",'data input for RPA'!L314,'data input for RPA'!K314)))</f>
      </c>
    </row>
    <row r="320" ht="12.75">
      <c r="S320" s="2">
        <f>IF(C320="","",IF('data input for RPA'!I315="N","N",IF('data input for RPA'!J315="N",'data input for RPA'!L315,'data input for RPA'!K315)))</f>
      </c>
    </row>
    <row r="321" ht="12.75">
      <c r="S321" s="2">
        <f>IF(C321="","",IF('data input for RPA'!I316="N","N",IF('data input for RPA'!J316="N",'data input for RPA'!L316,'data input for RPA'!K316)))</f>
      </c>
    </row>
    <row r="322" ht="12.75">
      <c r="S322" s="2">
        <f>IF(C322="","",IF('data input for RPA'!I317="N","N",IF('data input for RPA'!J317="N",'data input for RPA'!L317,'data input for RPA'!K317)))</f>
      </c>
    </row>
    <row r="323" ht="12.75">
      <c r="S323" s="2">
        <f>IF(C323="","",IF('data input for RPA'!I318="N","N",IF('data input for RPA'!J318="N",'data input for RPA'!L318,'data input for RPA'!K318)))</f>
      </c>
    </row>
    <row r="324" ht="12.75">
      <c r="S324" s="2">
        <f>IF(C324="","",IF('data input for RPA'!I319="N","N",IF('data input for RPA'!J319="N",'data input for RPA'!L319,'data input for RPA'!K319)))</f>
      </c>
    </row>
    <row r="325" ht="12.75">
      <c r="S325" s="2">
        <f>IF(C325="","",IF('data input for RPA'!I320="N","N",IF('data input for RPA'!J320="N",'data input for RPA'!L320,'data input for RPA'!K320)))</f>
      </c>
    </row>
    <row r="326" ht="12.75">
      <c r="S326" s="2">
        <f>IF(C326="","",IF('data input for RPA'!I321="N","N",IF('data input for RPA'!J321="N",'data input for RPA'!L321,'data input for RPA'!K321)))</f>
      </c>
    </row>
    <row r="327" ht="12.75">
      <c r="S327" s="2">
        <f>IF(C327="","",IF('data input for RPA'!I322="N","N",IF('data input for RPA'!J322="N",'data input for RPA'!L322,'data input for RPA'!K322)))</f>
      </c>
    </row>
    <row r="328" ht="12.75">
      <c r="S328" s="2">
        <f>IF(C328="","",IF('data input for RPA'!I323="N","N",IF('data input for RPA'!J323="N",'data input for RPA'!L323,'data input for RPA'!K323)))</f>
      </c>
    </row>
    <row r="329" ht="12.75">
      <c r="S329" s="2">
        <f>IF(C329="","",IF('data input for RPA'!I324="N","N",IF('data input for RPA'!J324="N",'data input for RPA'!L324,'data input for RPA'!K324)))</f>
      </c>
    </row>
    <row r="330" ht="12.75">
      <c r="S330" s="2">
        <f>IF(C330="","",IF('data input for RPA'!I325="N","N",IF('data input for RPA'!J325="N",'data input for RPA'!L325,'data input for RPA'!K325)))</f>
      </c>
    </row>
    <row r="331" ht="12.75">
      <c r="S331" s="2">
        <f>IF(C331="","",IF('data input for RPA'!I326="N","N",IF('data input for RPA'!J326="N",'data input for RPA'!L326,'data input for RPA'!K326)))</f>
      </c>
    </row>
    <row r="332" ht="12.75">
      <c r="S332" s="2">
        <f>IF(C332="","",IF('data input for RPA'!I327="N","N",IF('data input for RPA'!J327="N",'data input for RPA'!L327,'data input for RPA'!K327)))</f>
      </c>
    </row>
    <row r="333" ht="12.75">
      <c r="S333" s="2">
        <f>IF(C333="","",IF('data input for RPA'!I328="N","N",IF('data input for RPA'!J328="N",'data input for RPA'!L328,'data input for RPA'!K328)))</f>
      </c>
    </row>
    <row r="334" ht="12.75">
      <c r="S334" s="2">
        <f>IF(C334="","",IF('data input for RPA'!I329="N","N",IF('data input for RPA'!J329="N",'data input for RPA'!L329,'data input for RPA'!K329)))</f>
      </c>
    </row>
    <row r="335" ht="12.75">
      <c r="S335" s="2">
        <f>IF(C335="","",IF('data input for RPA'!I330="N","N",IF('data input for RPA'!J330="N",'data input for RPA'!L330,'data input for RPA'!K330)))</f>
      </c>
    </row>
    <row r="336" ht="12.75">
      <c r="S336" s="2">
        <f>IF(C336="","",IF('data input for RPA'!I331="N","N",IF('data input for RPA'!J331="N",'data input for RPA'!L331,'data input for RPA'!K331)))</f>
      </c>
    </row>
    <row r="337" ht="12.75">
      <c r="S337" s="2">
        <f>IF(C337="","",IF('data input for RPA'!I332="N","N",IF('data input for RPA'!J332="N",'data input for RPA'!L332,'data input for RPA'!K332)))</f>
      </c>
    </row>
    <row r="338" ht="12.75">
      <c r="S338" s="2">
        <f>IF(C338="","",IF('data input for RPA'!I333="N","N",IF('data input for RPA'!J333="N",'data input for RPA'!L333,'data input for RPA'!K333)))</f>
      </c>
    </row>
    <row r="339" ht="12.75">
      <c r="S339" s="2">
        <f>IF(C339="","",IF('data input for RPA'!I334="N","N",IF('data input for RPA'!J334="N",'data input for RPA'!L334,'data input for RPA'!K334)))</f>
      </c>
    </row>
    <row r="340" ht="12.75">
      <c r="S340" s="2">
        <f>IF(C340="","",IF('data input for RPA'!I335="N","N",IF('data input for RPA'!J335="N",'data input for RPA'!L335,'data input for RPA'!K335)))</f>
      </c>
    </row>
    <row r="341" ht="12.75">
      <c r="S341" s="2">
        <f>IF(C341="","",IF('data input for RPA'!I336="N","N",IF('data input for RPA'!J336="N",'data input for RPA'!L336,'data input for RPA'!K336)))</f>
      </c>
    </row>
    <row r="342" ht="12.75">
      <c r="S342" s="2">
        <f>IF(C342="","",IF('data input for RPA'!I337="N","N",IF('data input for RPA'!J337="N",'data input for RPA'!L337,'data input for RPA'!K337)))</f>
      </c>
    </row>
    <row r="343" ht="12.75">
      <c r="S343" s="2">
        <f>IF(C343="","",IF('data input for RPA'!I338="N","N",IF('data input for RPA'!J338="N",'data input for RPA'!L338,'data input for RPA'!K338)))</f>
      </c>
    </row>
    <row r="344" ht="12.75">
      <c r="S344" s="2">
        <f>IF(C344="","",IF('data input for RPA'!I339="N","N",IF('data input for RPA'!J339="N",'data input for RPA'!L339,'data input for RPA'!K339)))</f>
      </c>
    </row>
    <row r="345" ht="12.75">
      <c r="S345" s="2">
        <f>IF(C345="","",IF('data input for RPA'!I340="N","N",IF('data input for RPA'!J340="N",'data input for RPA'!L340,'data input for RPA'!K340)))</f>
      </c>
    </row>
    <row r="346" ht="12.75">
      <c r="S346" s="2">
        <f>IF(C346="","",IF('data input for RPA'!I341="N","N",IF('data input for RPA'!J341="N",'data input for RPA'!L341,'data input for RPA'!K341)))</f>
      </c>
    </row>
    <row r="347" ht="12.75">
      <c r="S347" s="2">
        <f>IF(C347="","",IF('data input for RPA'!I342="N","N",IF('data input for RPA'!J342="N",'data input for RPA'!L342,'data input for RPA'!K342)))</f>
      </c>
    </row>
    <row r="348" ht="12.75">
      <c r="S348" s="2">
        <f>IF(C348="","",IF('data input for RPA'!I343="N","N",IF('data input for RPA'!J343="N",'data input for RPA'!L343,'data input for RPA'!K343)))</f>
      </c>
    </row>
    <row r="349" ht="12.75">
      <c r="S349" s="2">
        <f>IF(C349="","",IF('data input for RPA'!I344="N","N",IF('data input for RPA'!J344="N",'data input for RPA'!L344,'data input for RPA'!K344)))</f>
      </c>
    </row>
    <row r="350" ht="12.75">
      <c r="S350" s="2">
        <f>IF(C350="","",IF('data input for RPA'!I345="N","N",IF('data input for RPA'!J345="N",'data input for RPA'!L345,'data input for RPA'!K345)))</f>
      </c>
    </row>
    <row r="351" ht="12.75">
      <c r="S351" s="2">
        <f>IF(C351="","",IF('data input for RPA'!I346="N","N",IF('data input for RPA'!J346="N",'data input for RPA'!L346,'data input for RPA'!K346)))</f>
      </c>
    </row>
    <row r="352" ht="12.75">
      <c r="S352" s="2">
        <f>IF(C352="","",IF('data input for RPA'!I347="N","N",IF('data input for RPA'!J347="N",'data input for RPA'!L347,'data input for RPA'!K347)))</f>
      </c>
    </row>
    <row r="353" ht="12.75">
      <c r="S353" s="2">
        <f>IF(C353="","",IF('data input for RPA'!I348="N","N",IF('data input for RPA'!J348="N",'data input for RPA'!L348,'data input for RPA'!K348)))</f>
      </c>
    </row>
    <row r="354" ht="12.75">
      <c r="S354" s="2">
        <f>IF(C354="","",IF('data input for RPA'!I349="N","N",IF('data input for RPA'!J349="N",'data input for RPA'!L349,'data input for RPA'!K349)))</f>
      </c>
    </row>
    <row r="355" ht="12.75">
      <c r="S355" s="2">
        <f>IF(C355="","",IF('data input for RPA'!I350="N","N",IF('data input for RPA'!J350="N",'data input for RPA'!L350,'data input for RPA'!K350)))</f>
      </c>
    </row>
    <row r="356" ht="12.75">
      <c r="S356" s="2">
        <f>IF(C356="","",IF('data input for RPA'!I351="N","N",IF('data input for RPA'!J351="N",'data input for RPA'!L351,'data input for RPA'!K351)))</f>
      </c>
    </row>
    <row r="357" ht="12.75">
      <c r="S357" s="2">
        <f>IF(C357="","",IF('data input for RPA'!I352="N","N",IF('data input for RPA'!J352="N",'data input for RPA'!L352,'data input for RPA'!K352)))</f>
      </c>
    </row>
    <row r="358" ht="12.75">
      <c r="S358" s="2">
        <f>IF(C358="","",IF('data input for RPA'!I353="N","N",IF('data input for RPA'!J353="N",'data input for RPA'!L353,'data input for RPA'!K353)))</f>
      </c>
    </row>
    <row r="359" ht="12.75">
      <c r="S359" s="2">
        <f>IF(C359="","",IF('data input for RPA'!I354="N","N",IF('data input for RPA'!J354="N",'data input for RPA'!L354,'data input for RPA'!K354)))</f>
      </c>
    </row>
    <row r="360" ht="12.75">
      <c r="S360" s="2">
        <f>IF(C360="","",IF('data input for RPA'!I355="N","N",IF('data input for RPA'!J355="N",'data input for RPA'!L355,'data input for RPA'!K355)))</f>
      </c>
    </row>
    <row r="361" ht="12.75">
      <c r="S361" s="2">
        <f>IF(C361="","",IF('data input for RPA'!I356="N","N",IF('data input for RPA'!J356="N",'data input for RPA'!L356,'data input for RPA'!K356)))</f>
      </c>
    </row>
    <row r="362" ht="12.75">
      <c r="S362" s="2">
        <f>IF(C362="","",IF('data input for RPA'!I357="N","N",IF('data input for RPA'!J357="N",'data input for RPA'!L357,'data input for RPA'!K357)))</f>
      </c>
    </row>
    <row r="363" ht="12.75">
      <c r="S363" s="2">
        <f>IF(C363="","",IF('data input for RPA'!I358="N","N",IF('data input for RPA'!J358="N",'data input for RPA'!L358,'data input for RPA'!K358)))</f>
      </c>
    </row>
    <row r="364" ht="12.75">
      <c r="S364" s="2">
        <f>IF(C364="","",IF('data input for RPA'!I359="N","N",IF('data input for RPA'!J359="N",'data input for RPA'!L359,'data input for RPA'!K359)))</f>
      </c>
    </row>
    <row r="365" ht="12.75">
      <c r="S365" s="2">
        <f>IF(C365="","",IF('data input for RPA'!I360="N","N",IF('data input for RPA'!J360="N",'data input for RPA'!L360,'data input for RPA'!K360)))</f>
      </c>
    </row>
    <row r="366" ht="12.75">
      <c r="S366" s="2">
        <f>IF(C366="","",IF('data input for RPA'!I361="N","N",IF('data input for RPA'!J361="N",'data input for RPA'!L361,'data input for RPA'!K361)))</f>
      </c>
    </row>
    <row r="367" ht="12.75">
      <c r="S367" s="2">
        <f>IF(C367="","",IF('data input for RPA'!I362="N","N",IF('data input for RPA'!J362="N",'data input for RPA'!L362,'data input for RPA'!K362)))</f>
      </c>
    </row>
    <row r="368" ht="12.75">
      <c r="S368" s="2">
        <f>IF(C368="","",IF('data input for RPA'!I363="N","N",IF('data input for RPA'!J363="N",'data input for RPA'!L363,'data input for RPA'!K363)))</f>
      </c>
    </row>
    <row r="369" ht="12.75">
      <c r="S369" s="2">
        <f>IF(C369="","",IF('data input for RPA'!I364="N","N",IF('data input for RPA'!J364="N",'data input for RPA'!L364,'data input for RPA'!K364)))</f>
      </c>
    </row>
    <row r="370" ht="12.75">
      <c r="S370" s="2">
        <f>IF(C370="","",IF('data input for RPA'!I365="N","N",IF('data input for RPA'!J365="N",'data input for RPA'!L365,'data input for RPA'!K365)))</f>
      </c>
    </row>
    <row r="371" ht="12.75">
      <c r="S371" s="2">
        <f>IF(C371="","",IF('data input for RPA'!I366="N","N",IF('data input for RPA'!J366="N",'data input for RPA'!L366,'data input for RPA'!K366)))</f>
      </c>
    </row>
    <row r="372" ht="12.75">
      <c r="S372" s="2">
        <f>IF(C372="","",IF('data input for RPA'!I367="N","N",IF('data input for RPA'!J367="N",'data input for RPA'!L367,'data input for RPA'!K367)))</f>
      </c>
    </row>
    <row r="373" ht="12.75">
      <c r="S373" s="2">
        <f>IF(C373="","",IF('data input for RPA'!I368="N","N",IF('data input for RPA'!J368="N",'data input for RPA'!L368,'data input for RPA'!K368)))</f>
      </c>
    </row>
    <row r="374" ht="12.75">
      <c r="S374" s="2">
        <f>IF(C374="","",IF('data input for RPA'!I369="N","N",IF('data input for RPA'!J369="N",'data input for RPA'!L369,'data input for RPA'!K369)))</f>
      </c>
    </row>
    <row r="375" ht="12.75">
      <c r="S375" s="2">
        <f>IF(C375="","",IF('data input for RPA'!I370="N","N",IF('data input for RPA'!J370="N",'data input for RPA'!L370,'data input for RPA'!K370)))</f>
      </c>
    </row>
    <row r="376" ht="12.75">
      <c r="S376" s="2">
        <f>IF(C376="","",IF('data input for RPA'!I371="N","N",IF('data input for RPA'!J371="N",'data input for RPA'!L371,'data input for RPA'!K371)))</f>
      </c>
    </row>
    <row r="377" ht="12.75">
      <c r="S377" s="2">
        <f>IF(C377="","",IF('data input for RPA'!I372="N","N",IF('data input for RPA'!J372="N",'data input for RPA'!L372,'data input for RPA'!K372)))</f>
      </c>
    </row>
    <row r="378" ht="12.75">
      <c r="S378" s="2">
        <f>IF(C378="","",IF('data input for RPA'!I373="N","N",IF('data input for RPA'!J373="N",'data input for RPA'!L373,'data input for RPA'!K373)))</f>
      </c>
    </row>
    <row r="379" ht="12.75">
      <c r="S379" s="2">
        <f>IF(C379="","",IF('data input for RPA'!I374="N","N",IF('data input for RPA'!J374="N",'data input for RPA'!L374,'data input for RPA'!K374)))</f>
      </c>
    </row>
    <row r="380" ht="12.75">
      <c r="S380" s="2">
        <f>IF(C380="","",IF('data input for RPA'!I375="N","N",IF('data input for RPA'!J375="N",'data input for RPA'!L375,'data input for RPA'!K375)))</f>
      </c>
    </row>
    <row r="381" ht="12.75">
      <c r="S381" s="2">
        <f>IF(C381="","",IF('data input for RPA'!I376="N","N",IF('data input for RPA'!J376="N",'data input for RPA'!L376,'data input for RPA'!K376)))</f>
      </c>
    </row>
    <row r="382" ht="12.75">
      <c r="S382" s="2">
        <f>IF(C382="","",IF('data input for RPA'!I377="N","N",IF('data input for RPA'!J377="N",'data input for RPA'!L377,'data input for RPA'!K377)))</f>
      </c>
    </row>
    <row r="383" ht="12.75">
      <c r="S383" s="2">
        <f>IF(C383="","",IF('data input for RPA'!I378="N","N",IF('data input for RPA'!J378="N",'data input for RPA'!L378,'data input for RPA'!K378)))</f>
      </c>
    </row>
    <row r="384" ht="12.75">
      <c r="S384" s="2">
        <f>IF(C384="","",IF('data input for RPA'!I379="N","N",IF('data input for RPA'!J379="N",'data input for RPA'!L379,'data input for RPA'!K379)))</f>
      </c>
    </row>
    <row r="385" ht="12.75">
      <c r="S385" s="2">
        <f>IF(C385="","",IF('data input for RPA'!I380="N","N",IF('data input for RPA'!J380="N",'data input for RPA'!L380,'data input for RPA'!K380)))</f>
      </c>
    </row>
    <row r="386" ht="12.75">
      <c r="S386" s="2">
        <f>IF(C386="","",IF('data input for RPA'!I381="N","N",IF('data input for RPA'!J381="N",'data input for RPA'!L381,'data input for RPA'!K381)))</f>
      </c>
    </row>
    <row r="387" ht="12.75">
      <c r="S387" s="2">
        <f>IF(C387="","",IF('data input for RPA'!I382="N","N",IF('data input for RPA'!J382="N",'data input for RPA'!L382,'data input for RPA'!K382)))</f>
      </c>
    </row>
    <row r="388" ht="12.75">
      <c r="S388" s="2">
        <f>IF(C388="","",IF('data input for RPA'!I383="N","N",IF('data input for RPA'!J383="N",'data input for RPA'!L383,'data input for RPA'!K383)))</f>
      </c>
    </row>
    <row r="389" ht="12.75">
      <c r="S389" s="2">
        <f>IF(C389="","",IF('data input for RPA'!I384="N","N",IF('data input for RPA'!J384="N",'data input for RPA'!L384,'data input for RPA'!K384)))</f>
      </c>
    </row>
    <row r="390" ht="12.75">
      <c r="S390" s="2">
        <f>IF(C390="","",IF('data input for RPA'!I385="N","N",IF('data input for RPA'!J385="N",'data input for RPA'!L385,'data input for RPA'!K385)))</f>
      </c>
    </row>
    <row r="391" ht="12.75">
      <c r="S391" s="2">
        <f>IF(C391="","",IF('data input for RPA'!I386="N","N",IF('data input for RPA'!J386="N",'data input for RPA'!L386,'data input for RPA'!K386)))</f>
      </c>
    </row>
    <row r="392" ht="12.75">
      <c r="S392" s="2">
        <f>IF(C392="","",IF('data input for RPA'!I387="N","N",IF('data input for RPA'!J387="N",'data input for RPA'!L387,'data input for RPA'!K387)))</f>
      </c>
    </row>
    <row r="393" ht="12.75">
      <c r="S393" s="2">
        <f>IF(C393="","",IF('data input for RPA'!I388="N","N",IF('data input for RPA'!J388="N",'data input for RPA'!L388,'data input for RPA'!K388)))</f>
      </c>
    </row>
    <row r="394" ht="12.75">
      <c r="S394" s="2">
        <f>IF(C394="","",IF('data input for RPA'!I389="N","N",IF('data input for RPA'!J389="N",'data input for RPA'!L389,'data input for RPA'!K389)))</f>
      </c>
    </row>
    <row r="395" ht="12.75">
      <c r="S395" s="2">
        <f>IF(C395="","",IF('data input for RPA'!I390="N","N",IF('data input for RPA'!J390="N",'data input for RPA'!L390,'data input for RPA'!K390)))</f>
      </c>
    </row>
    <row r="396" ht="12.75">
      <c r="S396" s="2">
        <f>IF(C396="","",IF('data input for RPA'!I391="N","N",IF('data input for RPA'!J391="N",'data input for RPA'!L391,'data input for RPA'!K391)))</f>
      </c>
    </row>
    <row r="397" ht="12.75">
      <c r="S397" s="2">
        <f>IF(C397="","",IF('data input for RPA'!I392="N","N",IF('data input for RPA'!J392="N",'data input for RPA'!L392,'data input for RPA'!K392)))</f>
      </c>
    </row>
    <row r="398" ht="12.75">
      <c r="S398" s="2">
        <f>IF(C398="","",IF('data input for RPA'!I393="N","N",IF('data input for RPA'!J393="N",'data input for RPA'!L393,'data input for RPA'!K393)))</f>
      </c>
    </row>
    <row r="399" ht="12.75">
      <c r="S399" s="2">
        <f>IF(C399="","",IF('data input for RPA'!I394="N","N",IF('data input for RPA'!J394="N",'data input for RPA'!L394,'data input for RPA'!K394)))</f>
      </c>
    </row>
    <row r="400" ht="12.75">
      <c r="S400" s="2">
        <f>IF(C400="","",IF('data input for RPA'!I395="N","N",IF('data input for RPA'!J395="N",'data input for RPA'!L395,'data input for RPA'!K395)))</f>
      </c>
    </row>
    <row r="401" ht="12.75">
      <c r="S401" s="2">
        <f>IF(C401="","",IF('data input for RPA'!I396="N","N",IF('data input for RPA'!J396="N",'data input for RPA'!L396,'data input for RPA'!K396)))</f>
      </c>
    </row>
    <row r="402" ht="12.75">
      <c r="S402" s="2">
        <f>IF(C402="","",IF('data input for RPA'!I397="N","N",IF('data input for RPA'!J397="N",'data input for RPA'!L397,'data input for RPA'!K397)))</f>
      </c>
    </row>
    <row r="403" ht="12.75">
      <c r="S403" s="2">
        <f>IF(C403="","",IF('data input for RPA'!I398="N","N",IF('data input for RPA'!J398="N",'data input for RPA'!L398,'data input for RPA'!K398)))</f>
      </c>
    </row>
    <row r="404" ht="12.75">
      <c r="S404" s="2">
        <f>IF(C404="","",IF('data input for RPA'!I399="N","N",IF('data input for RPA'!J399="N",'data input for RPA'!L399,'data input for RPA'!K399)))</f>
      </c>
    </row>
    <row r="405" ht="12.75">
      <c r="S405" s="2">
        <f>IF(C405="","",IF('data input for RPA'!I400="N","N",IF('data input for RPA'!J400="N",'data input for RPA'!L400,'data input for RPA'!K400)))</f>
      </c>
    </row>
    <row r="406" ht="12.75">
      <c r="S406" s="2">
        <f>IF(C406="","",IF('data input for RPA'!I401="N","N",IF('data input for RPA'!J401="N",'data input for RPA'!L401,'data input for RPA'!K401)))</f>
      </c>
    </row>
    <row r="407" ht="12.75">
      <c r="S407" s="2">
        <f>IF(C407="","",IF('data input for RPA'!I402="N","N",IF('data input for RPA'!J402="N",'data input for RPA'!L402,'data input for RPA'!K402)))</f>
      </c>
    </row>
    <row r="408" ht="12.75">
      <c r="S408" s="2">
        <f>IF(C408="","",IF('data input for RPA'!I403="N","N",IF('data input for RPA'!J403="N",'data input for RPA'!L403,'data input for RPA'!K403)))</f>
      </c>
    </row>
    <row r="409" ht="12.75">
      <c r="S409" s="2">
        <f>IF(C409="","",IF('data input for RPA'!I404="N","N",IF('data input for RPA'!J404="N",'data input for RPA'!L404,'data input for RPA'!K404)))</f>
      </c>
    </row>
    <row r="410" ht="12.75">
      <c r="S410" s="2">
        <f>IF(C410="","",IF('data input for RPA'!I405="N","N",IF('data input for RPA'!J405="N",'data input for RPA'!L405,'data input for RPA'!K405)))</f>
      </c>
    </row>
    <row r="411" ht="12.75">
      <c r="S411" s="2">
        <f>IF(C411="","",IF('data input for RPA'!I406="N","N",IF('data input for RPA'!J406="N",'data input for RPA'!L406,'data input for RPA'!K406)))</f>
      </c>
    </row>
    <row r="412" ht="12.75">
      <c r="S412" s="2">
        <f>IF(C412="","",IF('data input for RPA'!I407="N","N",IF('data input for RPA'!J407="N",'data input for RPA'!L407,'data input for RPA'!K407)))</f>
      </c>
    </row>
    <row r="413" ht="12.75">
      <c r="S413" s="2">
        <f>IF(C413="","",IF('data input for RPA'!I408="N","N",IF('data input for RPA'!J408="N",'data input for RPA'!L408,'data input for RPA'!K408)))</f>
      </c>
    </row>
    <row r="414" ht="12.75">
      <c r="S414" s="2">
        <f>IF(C414="","",IF('data input for RPA'!I409="N","N",IF('data input for RPA'!J409="N",'data input for RPA'!L409,'data input for RPA'!K409)))</f>
      </c>
    </row>
    <row r="415" ht="12.75">
      <c r="S415" s="2">
        <f>IF(C415="","",IF('data input for RPA'!I410="N","N",IF('data input for RPA'!J410="N",'data input for RPA'!L410,'data input for RPA'!K410)))</f>
      </c>
    </row>
    <row r="416" ht="12.75">
      <c r="S416" s="2">
        <f>IF(C416="","",IF('data input for RPA'!I411="N","N",IF('data input for RPA'!J411="N",'data input for RPA'!L411,'data input for RPA'!K411)))</f>
      </c>
    </row>
    <row r="417" ht="12.75">
      <c r="S417" s="2">
        <f>IF(C417="","",IF('data input for RPA'!I412="N","N",IF('data input for RPA'!J412="N",'data input for RPA'!L412,'data input for RPA'!K412)))</f>
      </c>
    </row>
    <row r="418" ht="12.75">
      <c r="S418" s="2">
        <f>IF(C418="","",IF('data input for RPA'!I413="N","N",IF('data input for RPA'!J413="N",'data input for RPA'!L413,'data input for RPA'!K413)))</f>
      </c>
    </row>
    <row r="419" ht="12.75">
      <c r="S419" s="2">
        <f>IF(C419="","",IF('data input for RPA'!I414="N","N",IF('data input for RPA'!J414="N",'data input for RPA'!L414,'data input for RPA'!K414)))</f>
      </c>
    </row>
    <row r="420" ht="12.75">
      <c r="S420" s="2">
        <f>IF(C420="","",IF('data input for RPA'!I415="N","N",IF('data input for RPA'!J415="N",'data input for RPA'!L415,'data input for RPA'!K415)))</f>
      </c>
    </row>
    <row r="421" ht="12.75">
      <c r="S421" s="2">
        <f>IF(C421="","",IF('data input for RPA'!I416="N","N",IF('data input for RPA'!J416="N",'data input for RPA'!L416,'data input for RPA'!K416)))</f>
      </c>
    </row>
    <row r="422" ht="12.75">
      <c r="S422" s="2">
        <f>IF(C422="","",IF('data input for RPA'!I417="N","N",IF('data input for RPA'!J417="N",'data input for RPA'!L417,'data input for RPA'!K417)))</f>
      </c>
    </row>
    <row r="423" ht="12.75">
      <c r="S423" s="2">
        <f>IF(C423="","",IF('data input for RPA'!I418="N","N",IF('data input for RPA'!J418="N",'data input for RPA'!L418,'data input for RPA'!K418)))</f>
      </c>
    </row>
    <row r="424" ht="12.75">
      <c r="S424" s="2">
        <f>IF(C424="","",IF('data input for RPA'!I419="N","N",IF('data input for RPA'!J419="N",'data input for RPA'!L419,'data input for RPA'!K419)))</f>
      </c>
    </row>
    <row r="425" ht="12.75">
      <c r="S425" s="2">
        <f>IF(C425="","",IF('data input for RPA'!I420="N","N",IF('data input for RPA'!J420="N",'data input for RPA'!L420,'data input for RPA'!K420)))</f>
      </c>
    </row>
    <row r="426" ht="12.75">
      <c r="S426" s="2">
        <f>IF(C426="","",IF('data input for RPA'!I421="N","N",IF('data input for RPA'!J421="N",'data input for RPA'!L421,'data input for RPA'!K421)))</f>
      </c>
    </row>
    <row r="427" ht="12.75">
      <c r="S427" s="2">
        <f>IF(C427="","",IF('data input for RPA'!I422="N","N",IF('data input for RPA'!J422="N",'data input for RPA'!L422,'data input for RPA'!K422)))</f>
      </c>
    </row>
    <row r="428" ht="12.75">
      <c r="S428" s="2">
        <f>IF(C428="","",IF('data input for RPA'!I423="N","N",IF('data input for RPA'!J423="N",'data input for RPA'!L423,'data input for RPA'!K423)))</f>
      </c>
    </row>
    <row r="429" ht="12.75">
      <c r="S429" s="2">
        <f>IF(C429="","",IF('data input for RPA'!I424="N","N",IF('data input for RPA'!J424="N",'data input for RPA'!L424,'data input for RPA'!K424)))</f>
      </c>
    </row>
    <row r="430" ht="12.75">
      <c r="S430" s="2">
        <f>IF(C430="","",IF('data input for RPA'!I425="N","N",IF('data input for RPA'!J425="N",'data input for RPA'!L425,'data input for RPA'!K425)))</f>
      </c>
    </row>
    <row r="431" ht="12.75">
      <c r="S431" s="2">
        <f>IF(C431="","",IF('data input for RPA'!I426="N","N",IF('data input for RPA'!J426="N",'data input for RPA'!L426,'data input for RPA'!K426)))</f>
      </c>
    </row>
    <row r="432" ht="12.75">
      <c r="S432" s="2">
        <f>IF(C432="","",IF('data input for RPA'!I427="N","N",IF('data input for RPA'!J427="N",'data input for RPA'!L427,'data input for RPA'!K427)))</f>
      </c>
    </row>
    <row r="433" ht="12.75">
      <c r="S433" s="2">
        <f>IF(C433="","",IF('data input for RPA'!I428="N","N",IF('data input for RPA'!J428="N",'data input for RPA'!L428,'data input for RPA'!K428)))</f>
      </c>
    </row>
    <row r="434" ht="12.75">
      <c r="S434" s="2">
        <f>IF(C434="","",IF('data input for RPA'!I429="N","N",IF('data input for RPA'!J429="N",'data input for RPA'!L429,'data input for RPA'!K429)))</f>
      </c>
    </row>
    <row r="435" ht="12.75">
      <c r="S435" s="2">
        <f>IF(C435="","",IF('data input for RPA'!I430="N","N",IF('data input for RPA'!J430="N",'data input for RPA'!L430,'data input for RPA'!K430)))</f>
      </c>
    </row>
    <row r="436" ht="12.75">
      <c r="S436" s="2">
        <f>IF(C436="","",IF('data input for RPA'!I431="N","N",IF('data input for RPA'!J431="N",'data input for RPA'!L431,'data input for RPA'!K431)))</f>
      </c>
    </row>
    <row r="437" ht="12.75">
      <c r="S437" s="2">
        <f>IF(C437="","",IF('data input for RPA'!I432="N","N",IF('data input for RPA'!J432="N",'data input for RPA'!L432,'data input for RPA'!K432)))</f>
      </c>
    </row>
    <row r="438" ht="12.75">
      <c r="S438" s="2">
        <f>IF(C438="","",IF('data input for RPA'!I433="N","N",IF('data input for RPA'!J433="N",'data input for RPA'!L433,'data input for RPA'!K433)))</f>
      </c>
    </row>
    <row r="439" ht="12.75">
      <c r="S439" s="2">
        <f>IF(C439="","",IF('data input for RPA'!I434="N","N",IF('data input for RPA'!J434="N",'data input for RPA'!L434,'data input for RPA'!K434)))</f>
      </c>
    </row>
    <row r="440" ht="12.75">
      <c r="S440" s="2">
        <f>IF(C440="","",IF('data input for RPA'!I435="N","N",IF('data input for RPA'!J435="N",'data input for RPA'!L435,'data input for RPA'!K435)))</f>
      </c>
    </row>
    <row r="441" ht="12.75">
      <c r="S441" s="2">
        <f>IF(C441="","",IF('data input for RPA'!I436="N","N",IF('data input for RPA'!J436="N",'data input for RPA'!L436,'data input for RPA'!K436)))</f>
      </c>
    </row>
    <row r="442" ht="12.75">
      <c r="S442" s="2">
        <f>IF(C442="","",IF('data input for RPA'!I437="N","N",IF('data input for RPA'!J437="N",'data input for RPA'!L437,'data input for RPA'!K437)))</f>
      </c>
    </row>
    <row r="443" ht="12.75">
      <c r="S443" s="2">
        <f>IF(C443="","",IF('data input for RPA'!I438="N","N",IF('data input for RPA'!J438="N",'data input for RPA'!L438,'data input for RPA'!K438)))</f>
      </c>
    </row>
    <row r="444" ht="12.75">
      <c r="S444" s="2">
        <f>IF(C444="","",IF('data input for RPA'!I439="N","N",IF('data input for RPA'!J439="N",'data input for RPA'!L439,'data input for RPA'!K439)))</f>
      </c>
    </row>
    <row r="445" ht="12.75">
      <c r="S445" s="2">
        <f>IF(C445="","",IF('data input for RPA'!I440="N","N",IF('data input for RPA'!J440="N",'data input for RPA'!L440,'data input for RPA'!K440)))</f>
      </c>
    </row>
    <row r="446" ht="12.75">
      <c r="S446" s="2">
        <f>IF(C446="","",IF('data input for RPA'!I441="N","N",IF('data input for RPA'!J441="N",'data input for RPA'!L441,'data input for RPA'!K441)))</f>
      </c>
    </row>
    <row r="447" ht="12.75">
      <c r="S447" s="2">
        <f>IF(C447="","",IF('data input for RPA'!I442="N","N",IF('data input for RPA'!J442="N",'data input for RPA'!L442,'data input for RPA'!K442)))</f>
      </c>
    </row>
    <row r="448" ht="12.75">
      <c r="S448" s="2">
        <f>IF(C448="","",IF('data input for RPA'!I443="N","N",IF('data input for RPA'!J443="N",'data input for RPA'!L443,'data input for RPA'!K443)))</f>
      </c>
    </row>
    <row r="449" ht="12.75">
      <c r="S449" s="2">
        <f>IF(C449="","",IF('data input for RPA'!I444="N","N",IF('data input for RPA'!J444="N",'data input for RPA'!L444,'data input for RPA'!K444)))</f>
      </c>
    </row>
    <row r="450" ht="12.75">
      <c r="S450" s="2">
        <f>IF(C450="","",IF('data input for RPA'!I445="N","N",IF('data input for RPA'!J445="N",'data input for RPA'!L445,'data input for RPA'!K445)))</f>
      </c>
    </row>
    <row r="451" ht="12.75">
      <c r="S451" s="2">
        <f>IF(C451="","",IF('data input for RPA'!I446="N","N",IF('data input for RPA'!J446="N",'data input for RPA'!L446,'data input for RPA'!K446)))</f>
      </c>
    </row>
    <row r="452" ht="12.75">
      <c r="S452" s="2">
        <f>IF(C452="","",IF('data input for RPA'!I447="N","N",IF('data input for RPA'!J447="N",'data input for RPA'!L447,'data input for RPA'!K447)))</f>
      </c>
    </row>
    <row r="453" ht="12.75">
      <c r="S453" s="2">
        <f>IF(C453="","",IF('data input for RPA'!I448="N","N",IF('data input for RPA'!J448="N",'data input for RPA'!L448,'data input for RPA'!K448)))</f>
      </c>
    </row>
    <row r="454" ht="12.75">
      <c r="S454" s="2">
        <f>IF(C454="","",IF('data input for RPA'!I449="N","N",IF('data input for RPA'!J449="N",'data input for RPA'!L449,'data input for RPA'!K449)))</f>
      </c>
    </row>
    <row r="455" ht="12.75">
      <c r="S455" s="2">
        <f>IF(C455="","",IF('data input for RPA'!I450="N","N",IF('data input for RPA'!J450="N",'data input for RPA'!L450,'data input for RPA'!K450)))</f>
      </c>
    </row>
    <row r="456" ht="12.75">
      <c r="S456" s="2">
        <f>IF(C456="","",IF('data input for RPA'!I451="N","N",IF('data input for RPA'!J451="N",'data input for RPA'!L451,'data input for RPA'!K451)))</f>
      </c>
    </row>
    <row r="457" ht="12.75">
      <c r="S457" s="2">
        <f>IF(C457="","",IF('data input for RPA'!I452="N","N",IF('data input for RPA'!J452="N",'data input for RPA'!L452,'data input for RPA'!K452)))</f>
      </c>
    </row>
    <row r="458" ht="12.75">
      <c r="S458" s="2">
        <f>IF(C458="","",IF('data input for RPA'!I453="N","N",IF('data input for RPA'!J453="N",'data input for RPA'!L453,'data input for RPA'!K453)))</f>
      </c>
    </row>
    <row r="459" ht="12.75">
      <c r="S459" s="2">
        <f>IF(C459="","",IF('data input for RPA'!I454="N","N",IF('data input for RPA'!J454="N",'data input for RPA'!L454,'data input for RPA'!K454)))</f>
      </c>
    </row>
    <row r="460" ht="12.75">
      <c r="S460" s="2">
        <f>IF(C460="","",IF('data input for RPA'!I455="N","N",IF('data input for RPA'!J455="N",'data input for RPA'!L455,'data input for RPA'!K455)))</f>
      </c>
    </row>
    <row r="461" ht="12.75">
      <c r="S461" s="2">
        <f>IF(C461="","",IF('data input for RPA'!I456="N","N",IF('data input for RPA'!J456="N",'data input for RPA'!L456,'data input for RPA'!K456)))</f>
      </c>
    </row>
    <row r="462" ht="12.75">
      <c r="S462" s="2">
        <f>IF(C462="","",IF('data input for RPA'!I457="N","N",IF('data input for RPA'!J457="N",'data input for RPA'!L457,'data input for RPA'!K457)))</f>
      </c>
    </row>
    <row r="463" ht="12.75">
      <c r="S463" s="2">
        <f>IF(C463="","",IF('data input for RPA'!I458="N","N",IF('data input for RPA'!J458="N",'data input for RPA'!L458,'data input for RPA'!K458)))</f>
      </c>
    </row>
    <row r="464" ht="12.75">
      <c r="S464" s="2">
        <f>IF(C464="","",IF('data input for RPA'!I459="N","N",IF('data input for RPA'!J459="N",'data input for RPA'!L459,'data input for RPA'!K459)))</f>
      </c>
    </row>
    <row r="465" ht="12.75">
      <c r="S465" s="2">
        <f>IF(C465="","",IF('data input for RPA'!I460="N","N",IF('data input for RPA'!J460="N",'data input for RPA'!L460,'data input for RPA'!K460)))</f>
      </c>
    </row>
    <row r="466" ht="12.75">
      <c r="S466" s="2">
        <f>IF(C466="","",IF('data input for RPA'!I461="N","N",IF('data input for RPA'!J461="N",'data input for RPA'!L461,'data input for RPA'!K461)))</f>
      </c>
    </row>
    <row r="467" ht="12.75">
      <c r="S467" s="2">
        <f>IF(C467="","",IF('data input for RPA'!I462="N","N",IF('data input for RPA'!J462="N",'data input for RPA'!L462,'data input for RPA'!K462)))</f>
      </c>
    </row>
    <row r="468" ht="12.75">
      <c r="S468" s="2">
        <f>IF(C468="","",IF('data input for RPA'!I463="N","N",IF('data input for RPA'!J463="N",'data input for RPA'!L463,'data input for RPA'!K463)))</f>
      </c>
    </row>
    <row r="469" ht="12.75">
      <c r="S469" s="2">
        <f>IF(C469="","",IF('data input for RPA'!I464="N","N",IF('data input for RPA'!J464="N",'data input for RPA'!L464,'data input for RPA'!K464)))</f>
      </c>
    </row>
    <row r="470" ht="12.75">
      <c r="S470" s="2">
        <f>IF(C470="","",IF('data input for RPA'!I465="N","N",IF('data input for RPA'!J465="N",'data input for RPA'!L465,'data input for RPA'!K465)))</f>
      </c>
    </row>
    <row r="471" ht="12.75">
      <c r="S471" s="2">
        <f>IF(C471="","",IF('data input for RPA'!I466="N","N",IF('data input for RPA'!J466="N",'data input for RPA'!L466,'data input for RPA'!K466)))</f>
      </c>
    </row>
    <row r="472" ht="12.75">
      <c r="S472" s="2">
        <f>IF(C472="","",IF('data input for RPA'!I467="N","N",IF('data input for RPA'!J467="N",'data input for RPA'!L467,'data input for RPA'!K467)))</f>
      </c>
    </row>
    <row r="473" ht="12.75">
      <c r="S473" s="2">
        <f>IF(C473="","",IF('data input for RPA'!I468="N","N",IF('data input for RPA'!J468="N",'data input for RPA'!L468,'data input for RPA'!K468)))</f>
      </c>
    </row>
    <row r="474" ht="12.75">
      <c r="S474" s="2">
        <f>IF(C474="","",IF('data input for RPA'!I469="N","N",IF('data input for RPA'!J469="N",'data input for RPA'!L469,'data input for RPA'!K469)))</f>
      </c>
    </row>
    <row r="475" ht="12.75">
      <c r="S475" s="2">
        <f>IF(C475="","",IF('data input for RPA'!I470="N","N",IF('data input for RPA'!J470="N",'data input for RPA'!L470,'data input for RPA'!K470)))</f>
      </c>
    </row>
    <row r="476" ht="12.75">
      <c r="S476" s="2">
        <f>IF(C476="","",IF('data input for RPA'!I471="N","N",IF('data input for RPA'!J471="N",'data input for RPA'!L471,'data input for RPA'!K471)))</f>
      </c>
    </row>
    <row r="477" ht="12.75">
      <c r="S477" s="2">
        <f>IF(C477="","",IF('data input for RPA'!I472="N","N",IF('data input for RPA'!J472="N",'data input for RPA'!L472,'data input for RPA'!K472)))</f>
      </c>
    </row>
    <row r="478" ht="12.75">
      <c r="S478" s="2">
        <f>IF(C478="","",IF('data input for RPA'!I473="N","N",IF('data input for RPA'!J473="N",'data input for RPA'!L473,'data input for RPA'!K473)))</f>
      </c>
    </row>
    <row r="479" ht="12.75">
      <c r="S479" s="2">
        <f>IF(C479="","",IF('data input for RPA'!I474="N","N",IF('data input for RPA'!J474="N",'data input for RPA'!L474,'data input for RPA'!K474)))</f>
      </c>
    </row>
    <row r="480" ht="12.75">
      <c r="S480" s="2">
        <f>IF(C480="","",IF('data input for RPA'!I475="N","N",IF('data input for RPA'!J475="N",'data input for RPA'!L475,'data input for RPA'!K475)))</f>
      </c>
    </row>
    <row r="481" ht="12.75">
      <c r="S481" s="2">
        <f>IF(C481="","",IF('data input for RPA'!I476="N","N",IF('data input for RPA'!J476="N",'data input for RPA'!L476,'data input for RPA'!K476)))</f>
      </c>
    </row>
    <row r="482" ht="12.75">
      <c r="S482" s="2">
        <f>IF(C482="","",IF('data input for RPA'!I477="N","N",IF('data input for RPA'!J477="N",'data input for RPA'!L477,'data input for RPA'!K477)))</f>
      </c>
    </row>
    <row r="483" ht="12.75">
      <c r="S483" s="2">
        <f>IF(C483="","",IF('data input for RPA'!I478="N","N",IF('data input for RPA'!J478="N",'data input for RPA'!L478,'data input for RPA'!K478)))</f>
      </c>
    </row>
    <row r="484" ht="12.75">
      <c r="S484" s="2">
        <f>IF(C484="","",IF('data input for RPA'!I479="N","N",IF('data input for RPA'!J479="N",'data input for RPA'!L479,'data input for RPA'!K479)))</f>
      </c>
    </row>
    <row r="485" ht="12.75">
      <c r="S485" s="2">
        <f>IF(C485="","",IF('data input for RPA'!I480="N","N",IF('data input for RPA'!J480="N",'data input for RPA'!L480,'data input for RPA'!K480)))</f>
      </c>
    </row>
    <row r="486" ht="12.75">
      <c r="S486" s="2">
        <f>IF(C486="","",IF('data input for RPA'!I481="N","N",IF('data input for RPA'!J481="N",'data input for RPA'!L481,'data input for RPA'!K481)))</f>
      </c>
    </row>
    <row r="487" ht="12.75">
      <c r="S487" s="2">
        <f>IF(C487="","",IF('data input for RPA'!I482="N","N",IF('data input for RPA'!J482="N",'data input for RPA'!L482,'data input for RPA'!K482)))</f>
      </c>
    </row>
    <row r="488" ht="12.75">
      <c r="S488" s="2">
        <f>IF(C488="","",IF('data input for RPA'!I483="N","N",IF('data input for RPA'!J483="N",'data input for RPA'!L483,'data input for RPA'!K483)))</f>
      </c>
    </row>
    <row r="489" ht="12.75">
      <c r="S489" s="2">
        <f>IF(C489="","",IF('data input for RPA'!I484="N","N",IF('data input for RPA'!J484="N",'data input for RPA'!L484,'data input for RPA'!K484)))</f>
      </c>
    </row>
    <row r="490" ht="12.75">
      <c r="S490" s="2">
        <f>IF(C490="","",IF('data input for RPA'!I485="N","N",IF('data input for RPA'!J485="N",'data input for RPA'!L485,'data input for RPA'!K485)))</f>
      </c>
    </row>
    <row r="491" ht="12.75">
      <c r="S491" s="2">
        <f>IF(C491="","",IF('data input for RPA'!I486="N","N",IF('data input for RPA'!J486="N",'data input for RPA'!L486,'data input for RPA'!K486)))</f>
      </c>
    </row>
    <row r="492" ht="12.75">
      <c r="S492" s="2">
        <f>IF(C492="","",IF('data input for RPA'!I487="N","N",IF('data input for RPA'!J487="N",'data input for RPA'!L487,'data input for RPA'!K487)))</f>
      </c>
    </row>
    <row r="493" ht="12.75">
      <c r="S493" s="2">
        <f>IF(C493="","",IF('data input for RPA'!I488="N","N",IF('data input for RPA'!J488="N",'data input for RPA'!L488,'data input for RPA'!K488)))</f>
      </c>
    </row>
    <row r="494" ht="12.75">
      <c r="S494" s="2">
        <f>IF(C494="","",IF('data input for RPA'!I489="N","N",IF('data input for RPA'!J489="N",'data input for RPA'!L489,'data input for RPA'!K489)))</f>
      </c>
    </row>
    <row r="495" ht="12.75">
      <c r="S495" s="2">
        <f>IF(C495="","",IF('data input for RPA'!I490="N","N",IF('data input for RPA'!J490="N",'data input for RPA'!L490,'data input for RPA'!K490)))</f>
      </c>
    </row>
    <row r="496" ht="12.75">
      <c r="S496" s="2">
        <f>IF(C496="","",IF('data input for RPA'!I491="N","N",IF('data input for RPA'!J491="N",'data input for RPA'!L491,'data input for RPA'!K491)))</f>
      </c>
    </row>
    <row r="497" ht="12.75">
      <c r="S497" s="2">
        <f>IF(C497="","",IF('data input for RPA'!I492="N","N",IF('data input for RPA'!J492="N",'data input for RPA'!L492,'data input for RPA'!K492)))</f>
      </c>
    </row>
    <row r="498" ht="12.75">
      <c r="S498" s="2">
        <f>IF(C498="","",IF('data input for RPA'!I493="N","N",IF('data input for RPA'!J493="N",'data input for RPA'!L493,'data input for RPA'!K493)))</f>
      </c>
    </row>
    <row r="499" ht="12.75">
      <c r="S499" s="2">
        <f>IF(C499="","",IF('data input for RPA'!I494="N","N",IF('data input for RPA'!J494="N",'data input for RPA'!L494,'data input for RPA'!K494)))</f>
      </c>
    </row>
    <row r="500" ht="12.75">
      <c r="S500" s="2">
        <f>IF(C500="","",IF('data input for RPA'!I495="N","N",IF('data input for RPA'!J495="N",'data input for RPA'!L495,'data input for RPA'!K495)))</f>
      </c>
    </row>
    <row r="501" ht="12.75">
      <c r="S501" s="2">
        <f>IF(C501="","",IF('data input for RPA'!I496="N","N",IF('data input for RPA'!J496="N",'data input for RPA'!L496,'data input for RPA'!K496)))</f>
      </c>
    </row>
    <row r="502" ht="12.75">
      <c r="S502" s="2">
        <f>IF(C502="","",IF('data input for RPA'!I497="N","N",IF('data input for RPA'!J497="N",'data input for RPA'!L497,'data input for RPA'!K497)))</f>
      </c>
    </row>
    <row r="503" ht="12.75">
      <c r="S503" s="2">
        <f>IF(C503="","",IF('data input for RPA'!I498="N","N",IF('data input for RPA'!J498="N",'data input for RPA'!L498,'data input for RPA'!K498)))</f>
      </c>
    </row>
    <row r="504" ht="12.75">
      <c r="S504" s="2">
        <f>IF(C504="","",IF('data input for RPA'!I499="N","N",IF('data input for RPA'!J499="N",'data input for RPA'!L499,'data input for RPA'!K499)))</f>
      </c>
    </row>
    <row r="505" ht="12.75">
      <c r="S505" s="2">
        <f>IF(C505="","",IF('data input for RPA'!I500="N","N",IF('data input for RPA'!J500="N",'data input for RPA'!L500,'data input for RPA'!K500)))</f>
      </c>
    </row>
    <row r="506" ht="12.75">
      <c r="S506" s="2">
        <f>IF(C506="","",IF('data input for RPA'!I501="N","N",IF('data input for RPA'!J501="N",'data input for RPA'!L501,'data input for RPA'!K501)))</f>
      </c>
    </row>
    <row r="507" ht="12.75">
      <c r="S507" s="2">
        <f>IF(C507="","",IF('data input for RPA'!I502="N","N",IF('data input for RPA'!J502="N",'data input for RPA'!L502,'data input for RPA'!K502)))</f>
      </c>
    </row>
    <row r="508" ht="12.75">
      <c r="S508" s="2">
        <f>IF(C508="","",IF('data input for RPA'!I503="N","N",IF('data input for RPA'!J503="N",'data input for RPA'!L503,'data input for RPA'!K503)))</f>
      </c>
    </row>
    <row r="509" ht="12.75">
      <c r="S509" s="2">
        <f>IF(C509="","",IF('data input for RPA'!I504="N","N",IF('data input for RPA'!J504="N",'data input for RPA'!L504,'data input for RPA'!K504)))</f>
      </c>
    </row>
    <row r="510" ht="12.75">
      <c r="S510" s="2">
        <f>IF(C510="","",IF('data input for RPA'!I505="N","N",IF('data input for RPA'!J505="N",'data input for RPA'!L505,'data input for RPA'!K505)))</f>
      </c>
    </row>
    <row r="511" ht="12.75">
      <c r="S511" s="2">
        <f>IF(C511="","",IF('data input for RPA'!I506="N","N",IF('data input for RPA'!J506="N",'data input for RPA'!L506,'data input for RPA'!K506)))</f>
      </c>
    </row>
    <row r="512" ht="12.75">
      <c r="S512" s="2">
        <f>IF(C512="","",IF('data input for RPA'!I507="N","N",IF('data input for RPA'!J507="N",'data input for RPA'!L507,'data input for RPA'!K507)))</f>
      </c>
    </row>
    <row r="513" ht="12.75">
      <c r="S513" s="2">
        <f>IF(C513="","",IF('data input for RPA'!I508="N","N",IF('data input for RPA'!J508="N",'data input for RPA'!L508,'data input for RPA'!K508)))</f>
      </c>
    </row>
    <row r="514" ht="12.75">
      <c r="S514" s="2">
        <f>IF(C514="","",IF('data input for RPA'!I509="N","N",IF('data input for RPA'!J509="N",'data input for RPA'!L509,'data input for RPA'!K509)))</f>
      </c>
    </row>
    <row r="515" ht="12.75">
      <c r="S515" s="2">
        <f>IF(C515="","",IF('data input for RPA'!I510="N","N",IF('data input for RPA'!J510="N",'data input for RPA'!L510,'data input for RPA'!K510)))</f>
      </c>
    </row>
    <row r="516" ht="12.75">
      <c r="S516" s="2">
        <f>IF(C516="","",IF('data input for RPA'!I511="N","N",IF('data input for RPA'!J511="N",'data input for RPA'!L511,'data input for RPA'!K511)))</f>
      </c>
    </row>
    <row r="517" ht="12.75">
      <c r="S517" s="2">
        <f>IF(C517="","",IF('data input for RPA'!I512="N","N",IF('data input for RPA'!J512="N",'data input for RPA'!L512,'data input for RPA'!K512)))</f>
      </c>
    </row>
    <row r="518" ht="12.75">
      <c r="S518" s="2">
        <f>IF(C518="","",IF('data input for RPA'!I513="N","N",IF('data input for RPA'!J513="N",'data input for RPA'!L513,'data input for RPA'!K513)))</f>
      </c>
    </row>
    <row r="519" ht="12.75">
      <c r="S519" s="2">
        <f>IF(C519="","",IF('data input for RPA'!I514="N","N",IF('data input for RPA'!J514="N",'data input for RPA'!L514,'data input for RPA'!K514)))</f>
      </c>
    </row>
    <row r="520" ht="12.75">
      <c r="S520" s="2">
        <f>IF(C520="","",IF('data input for RPA'!I515="N","N",IF('data input for RPA'!J515="N",'data input for RPA'!L515,'data input for RPA'!K515)))</f>
      </c>
    </row>
    <row r="521" ht="12.75">
      <c r="S521" s="2">
        <f>IF(C521="","",IF('data input for RPA'!I516="N","N",IF('data input for RPA'!J516="N",'data input for RPA'!L516,'data input for RPA'!K516)))</f>
      </c>
    </row>
    <row r="522" ht="12.75">
      <c r="S522" s="2">
        <f>IF(C522="","",IF('data input for RPA'!I517="N","N",IF('data input for RPA'!J517="N",'data input for RPA'!L517,'data input for RPA'!K517)))</f>
      </c>
    </row>
    <row r="523" ht="12.75">
      <c r="S523" s="2">
        <f>IF(C523="","",IF('data input for RPA'!I518="N","N",IF('data input for RPA'!J518="N",'data input for RPA'!L518,'data input for RPA'!K518)))</f>
      </c>
    </row>
    <row r="524" ht="12.75">
      <c r="S524" s="2">
        <f>IF(C524="","",IF('data input for RPA'!I519="N","N",IF('data input for RPA'!J519="N",'data input for RPA'!L519,'data input for RPA'!K519)))</f>
      </c>
    </row>
    <row r="525" ht="12.75">
      <c r="S525" s="2">
        <f>IF(C525="","",IF('data input for RPA'!I520="N","N",IF('data input for RPA'!J520="N",'data input for RPA'!L520,'data input for RPA'!K520)))</f>
      </c>
    </row>
    <row r="526" ht="12.75">
      <c r="S526" s="2">
        <f>IF(C526="","",IF('data input for RPA'!I521="N","N",IF('data input for RPA'!J521="N",'data input for RPA'!L521,'data input for RPA'!K521)))</f>
      </c>
    </row>
    <row r="527" ht="12.75">
      <c r="S527" s="2">
        <f>IF(C527="","",IF('data input for RPA'!I522="N","N",IF('data input for RPA'!J522="N",'data input for RPA'!L522,'data input for RPA'!K522)))</f>
      </c>
    </row>
    <row r="528" ht="12.75">
      <c r="S528" s="2">
        <f>IF(C528="","",IF('data input for RPA'!I523="N","N",IF('data input for RPA'!J523="N",'data input for RPA'!L523,'data input for RPA'!K523)))</f>
      </c>
    </row>
    <row r="529" ht="12.75">
      <c r="S529" s="2">
        <f>IF(C529="","",IF('data input for RPA'!I524="N","N",IF('data input for RPA'!J524="N",'data input for RPA'!L524,'data input for RPA'!K524)))</f>
      </c>
    </row>
    <row r="530" ht="12.75">
      <c r="S530" s="2">
        <f>IF(C530="","",IF('data input for RPA'!I525="N","N",IF('data input for RPA'!J525="N",'data input for RPA'!L525,'data input for RPA'!K525)))</f>
      </c>
    </row>
    <row r="531" ht="12.75">
      <c r="S531" s="2">
        <f>IF(C531="","",IF('data input for RPA'!I526="N","N",IF('data input for RPA'!J526="N",'data input for RPA'!L526,'data input for RPA'!K526)))</f>
      </c>
    </row>
    <row r="532" ht="12.75">
      <c r="S532" s="2">
        <f>IF(C532="","",IF('data input for RPA'!I527="N","N",IF('data input for RPA'!J527="N",'data input for RPA'!L527,'data input for RPA'!K527)))</f>
      </c>
    </row>
    <row r="533" ht="12.75">
      <c r="S533" s="2">
        <f>IF(C533="","",IF('data input for RPA'!I528="N","N",IF('data input for RPA'!J528="N",'data input for RPA'!L528,'data input for RPA'!K528)))</f>
      </c>
    </row>
    <row r="534" ht="12.75">
      <c r="S534" s="2">
        <f>IF(C534="","",IF('data input for RPA'!I529="N","N",IF('data input for RPA'!J529="N",'data input for RPA'!L529,'data input for RPA'!K529)))</f>
      </c>
    </row>
    <row r="535" ht="12.75">
      <c r="S535" s="2">
        <f>IF(C535="","",IF('data input for RPA'!I530="N","N",IF('data input for RPA'!J530="N",'data input for RPA'!L530,'data input for RPA'!K530)))</f>
      </c>
    </row>
    <row r="536" ht="12.75">
      <c r="S536" s="2">
        <f>IF(C536="","",IF('data input for RPA'!I531="N","N",IF('data input for RPA'!J531="N",'data input for RPA'!L531,'data input for RPA'!K531)))</f>
      </c>
    </row>
    <row r="537" ht="12.75">
      <c r="S537" s="2">
        <f>IF(C537="","",IF('data input for RPA'!I532="N","N",IF('data input for RPA'!J532="N",'data input for RPA'!L532,'data input for RPA'!K532)))</f>
      </c>
    </row>
    <row r="538" ht="12.75">
      <c r="S538" s="2">
        <f>IF(C538="","",IF('data input for RPA'!I533="N","N",IF('data input for RPA'!J533="N",'data input for RPA'!L533,'data input for RPA'!K533)))</f>
      </c>
    </row>
    <row r="539" ht="12.75">
      <c r="S539" s="2">
        <f>IF(C539="","",IF('data input for RPA'!I534="N","N",IF('data input for RPA'!J534="N",'data input for RPA'!L534,'data input for RPA'!K534)))</f>
      </c>
    </row>
    <row r="540" ht="12.75">
      <c r="S540" s="2">
        <f>IF(C540="","",IF('data input for RPA'!I535="N","N",IF('data input for RPA'!J535="N",'data input for RPA'!L535,'data input for RPA'!K535)))</f>
      </c>
    </row>
    <row r="541" ht="12.75">
      <c r="S541" s="2">
        <f>IF(C541="","",IF('data input for RPA'!I536="N","N",IF('data input for RPA'!J536="N",'data input for RPA'!L536,'data input for RPA'!K536)))</f>
      </c>
    </row>
    <row r="542" ht="12.75">
      <c r="S542" s="2">
        <f>IF(C542="","",IF('data input for RPA'!I537="N","N",IF('data input for RPA'!J537="N",'data input for RPA'!L537,'data input for RPA'!K537)))</f>
      </c>
    </row>
    <row r="543" ht="12.75">
      <c r="S543" s="2">
        <f>IF(C543="","",IF('data input for RPA'!I538="N","N",IF('data input for RPA'!J538="N",'data input for RPA'!L538,'data input for RPA'!K538)))</f>
      </c>
    </row>
    <row r="544" ht="12.75">
      <c r="S544" s="2">
        <f>IF(C544="","",IF('data input for RPA'!I539="N","N",IF('data input for RPA'!J539="N",'data input for RPA'!L539,'data input for RPA'!K539)))</f>
      </c>
    </row>
    <row r="545" ht="12.75">
      <c r="S545" s="2">
        <f>IF(C545="","",IF('data input for RPA'!I540="N","N",IF('data input for RPA'!J540="N",'data input for RPA'!L540,'data input for RPA'!K540)))</f>
      </c>
    </row>
    <row r="546" ht="12.75">
      <c r="S546" s="2">
        <f>IF(C546="","",IF('data input for RPA'!I541="N","N",IF('data input for RPA'!J541="N",'data input for RPA'!L541,'data input for RPA'!K541)))</f>
      </c>
    </row>
    <row r="547" ht="12.75">
      <c r="S547" s="2">
        <f>IF(C547="","",IF('data input for RPA'!I542="N","N",IF('data input for RPA'!J542="N",'data input for RPA'!L542,'data input for RPA'!K542)))</f>
      </c>
    </row>
    <row r="548" ht="12.75">
      <c r="S548" s="2">
        <f>IF(C548="","",IF('data input for RPA'!I543="N","N",IF('data input for RPA'!J543="N",'data input for RPA'!L543,'data input for RPA'!K543)))</f>
      </c>
    </row>
    <row r="549" ht="12.75">
      <c r="S549" s="2">
        <f>IF(C549="","",IF('data input for RPA'!I544="N","N",IF('data input for RPA'!J544="N",'data input for RPA'!L544,'data input for RPA'!K544)))</f>
      </c>
    </row>
    <row r="550" ht="12.75">
      <c r="S550" s="2">
        <f>IF(C550="","",IF('data input for RPA'!I545="N","N",IF('data input for RPA'!J545="N",'data input for RPA'!L545,'data input for RPA'!K545)))</f>
      </c>
    </row>
    <row r="551" ht="12.75">
      <c r="S551" s="2">
        <f>IF(C551="","",IF('data input for RPA'!I546="N","N",IF('data input for RPA'!J546="N",'data input for RPA'!L546,'data input for RPA'!K546)))</f>
      </c>
    </row>
    <row r="552" ht="12.75">
      <c r="S552" s="2">
        <f>IF(C552="","",IF('data input for RPA'!I547="N","N",IF('data input for RPA'!J547="N",'data input for RPA'!L547,'data input for RPA'!K547)))</f>
      </c>
    </row>
    <row r="553" ht="12.75">
      <c r="S553" s="2">
        <f>IF(C553="","",IF('data input for RPA'!I548="N","N",IF('data input for RPA'!J548="N",'data input for RPA'!L548,'data input for RPA'!K548)))</f>
      </c>
    </row>
    <row r="554" ht="12.75">
      <c r="S554" s="2">
        <f>IF(C554="","",IF('data input for RPA'!I549="N","N",IF('data input for RPA'!J549="N",'data input for RPA'!L549,'data input for RPA'!K549)))</f>
      </c>
    </row>
    <row r="555" ht="12.75">
      <c r="S555" s="2">
        <f>IF(C555="","",IF('data input for RPA'!I550="N","N",IF('data input for RPA'!J550="N",'data input for RPA'!L550,'data input for RPA'!K550)))</f>
      </c>
    </row>
    <row r="556" ht="12.75">
      <c r="S556" s="2">
        <f>IF(C556="","",IF('data input for RPA'!I551="N","N",IF('data input for RPA'!J551="N",'data input for RPA'!L551,'data input for RPA'!K551)))</f>
      </c>
    </row>
    <row r="557" ht="12.75">
      <c r="S557" s="2">
        <f>IF(C557="","",IF('data input for RPA'!I552="N","N",IF('data input for RPA'!J552="N",'data input for RPA'!L552,'data input for RPA'!K552)))</f>
      </c>
    </row>
    <row r="558" ht="12.75">
      <c r="S558" s="2">
        <f>IF(C558="","",IF('data input for RPA'!I553="N","N",IF('data input for RPA'!J553="N",'data input for RPA'!L553,'data input for RPA'!K553)))</f>
      </c>
    </row>
    <row r="559" ht="12.75">
      <c r="S559" s="2">
        <f>IF(C559="","",IF('data input for RPA'!I554="N","N",IF('data input for RPA'!J554="N",'data input for RPA'!L554,'data input for RPA'!K554)))</f>
      </c>
    </row>
    <row r="560" ht="12.75">
      <c r="S560" s="2">
        <f>IF(C560="","",IF('data input for RPA'!I555="N","N",IF('data input for RPA'!J555="N",'data input for RPA'!L555,'data input for RPA'!K555)))</f>
      </c>
    </row>
    <row r="561" ht="12.75">
      <c r="S561" s="2">
        <f>IF(C561="","",IF('data input for RPA'!I556="N","N",IF('data input for RPA'!J556="N",'data input for RPA'!L556,'data input for RPA'!K556)))</f>
      </c>
    </row>
    <row r="562" ht="12.75">
      <c r="S562" s="2">
        <f>IF(C562="","",IF('data input for RPA'!I557="N","N",IF('data input for RPA'!J557="N",'data input for RPA'!L557,'data input for RPA'!K557)))</f>
      </c>
    </row>
    <row r="563" ht="12.75">
      <c r="S563" s="2">
        <f>IF(C563="","",IF('data input for RPA'!I558="N","N",IF('data input for RPA'!J558="N",'data input for RPA'!L558,'data input for RPA'!K558)))</f>
      </c>
    </row>
    <row r="564" ht="12.75">
      <c r="S564" s="2">
        <f>IF(C564="","",IF('data input for RPA'!I559="N","N",IF('data input for RPA'!J559="N",'data input for RPA'!L559,'data input for RPA'!K559)))</f>
      </c>
    </row>
    <row r="565" ht="12.75">
      <c r="S565" s="2">
        <f>IF(C565="","",IF('data input for RPA'!I560="N","N",IF('data input for RPA'!J560="N",'data input for RPA'!L560,'data input for RPA'!K560)))</f>
      </c>
    </row>
    <row r="566" ht="12.75">
      <c r="S566" s="2">
        <f>IF(C566="","",IF('data input for RPA'!I561="N","N",IF('data input for RPA'!J561="N",'data input for RPA'!L561,'data input for RPA'!K561)))</f>
      </c>
    </row>
    <row r="567" ht="12.75">
      <c r="S567" s="2">
        <f>IF(C567="","",IF('data input for RPA'!I562="N","N",IF('data input for RPA'!J562="N",'data input for RPA'!L562,'data input for RPA'!K562)))</f>
      </c>
    </row>
    <row r="568" ht="12.75">
      <c r="S568" s="2">
        <f>IF(C568="","",IF('data input for RPA'!I563="N","N",IF('data input for RPA'!J563="N",'data input for RPA'!L563,'data input for RPA'!K563)))</f>
      </c>
    </row>
    <row r="569" ht="12.75">
      <c r="S569" s="2">
        <f>IF(C569="","",IF('data input for RPA'!I564="N","N",IF('data input for RPA'!J564="N",'data input for RPA'!L564,'data input for RPA'!K564)))</f>
      </c>
    </row>
    <row r="570" ht="12.75">
      <c r="S570" s="2">
        <f>IF(C570="","",IF('data input for RPA'!I565="N","N",IF('data input for RPA'!J565="N",'data input for RPA'!L565,'data input for RPA'!K565)))</f>
      </c>
    </row>
    <row r="571" ht="12.75">
      <c r="S571" s="2">
        <f>IF(C571="","",IF('data input for RPA'!I566="N","N",IF('data input for RPA'!J566="N",'data input for RPA'!L566,'data input for RPA'!K566)))</f>
      </c>
    </row>
    <row r="572" ht="12.75">
      <c r="S572" s="2">
        <f>IF(C572="","",IF('data input for RPA'!I567="N","N",IF('data input for RPA'!J567="N",'data input for RPA'!L567,'data input for RPA'!K567)))</f>
      </c>
    </row>
    <row r="573" ht="12.75">
      <c r="S573" s="2">
        <f>IF(C573="","",IF('data input for RPA'!I568="N","N",IF('data input for RPA'!J568="N",'data input for RPA'!L568,'data input for RPA'!K568)))</f>
      </c>
    </row>
    <row r="574" ht="12.75">
      <c r="S574" s="2">
        <f>IF(C574="","",IF('data input for RPA'!I569="N","N",IF('data input for RPA'!J569="N",'data input for RPA'!L569,'data input for RPA'!K569)))</f>
      </c>
    </row>
    <row r="575" ht="12.75">
      <c r="S575" s="2">
        <f>IF(C575="","",IF('data input for RPA'!I570="N","N",IF('data input for RPA'!J570="N",'data input for RPA'!L570,'data input for RPA'!K570)))</f>
      </c>
    </row>
    <row r="576" ht="12.75">
      <c r="S576" s="2">
        <f>IF(C576="","",IF('data input for RPA'!I571="N","N",IF('data input for RPA'!J571="N",'data input for RPA'!L571,'data input for RPA'!K571)))</f>
      </c>
    </row>
    <row r="577" ht="12.75">
      <c r="S577" s="2">
        <f>IF(C577="","",IF('data input for RPA'!I572="N","N",IF('data input for RPA'!J572="N",'data input for RPA'!L572,'data input for RPA'!K572)))</f>
      </c>
    </row>
    <row r="578" ht="12.75">
      <c r="S578" s="2">
        <f>IF(C578="","",IF('data input for RPA'!I573="N","N",IF('data input for RPA'!J573="N",'data input for RPA'!L573,'data input for RPA'!K573)))</f>
      </c>
    </row>
    <row r="579" ht="12.75">
      <c r="S579" s="2">
        <f>IF(C579="","",IF('data input for RPA'!I574="N","N",IF('data input for RPA'!J574="N",'data input for RPA'!L574,'data input for RPA'!K574)))</f>
      </c>
    </row>
    <row r="580" ht="12.75">
      <c r="S580" s="2">
        <f>IF(C580="","",IF('data input for RPA'!I575="N","N",IF('data input for RPA'!J575="N",'data input for RPA'!L575,'data input for RPA'!K575)))</f>
      </c>
    </row>
    <row r="581" ht="12.75">
      <c r="S581" s="2">
        <f>IF(C581="","",IF('data input for RPA'!I576="N","N",IF('data input for RPA'!J576="N",'data input for RPA'!L576,'data input for RPA'!K576)))</f>
      </c>
    </row>
    <row r="582" ht="12.75">
      <c r="S582" s="2">
        <f>IF(C582="","",IF('data input for RPA'!I577="N","N",IF('data input for RPA'!J577="N",'data input for RPA'!L577,'data input for RPA'!K577)))</f>
      </c>
    </row>
    <row r="583" ht="12.75">
      <c r="S583" s="2">
        <f>IF(C583="","",IF('data input for RPA'!I578="N","N",IF('data input for RPA'!J578="N",'data input for RPA'!L578,'data input for RPA'!K578)))</f>
      </c>
    </row>
    <row r="584" ht="12.75">
      <c r="S584" s="2">
        <f>IF(C584="","",IF('data input for RPA'!I579="N","N",IF('data input for RPA'!J579="N",'data input for RPA'!L579,'data input for RPA'!K579)))</f>
      </c>
    </row>
    <row r="585" ht="12.75">
      <c r="S585" s="2">
        <f>IF(C585="","",IF('data input for RPA'!I580="N","N",IF('data input for RPA'!J580="N",'data input for RPA'!L580,'data input for RPA'!K580)))</f>
      </c>
    </row>
    <row r="586" ht="12.75">
      <c r="S586" s="2">
        <f>IF(C586="","",IF('data input for RPA'!I581="N","N",IF('data input for RPA'!J581="N",'data input for RPA'!L581,'data input for RPA'!K581)))</f>
      </c>
    </row>
    <row r="587" ht="12.75">
      <c r="S587" s="2">
        <f>IF(C587="","",IF('data input for RPA'!I582="N","N",IF('data input for RPA'!J582="N",'data input for RPA'!L582,'data input for RPA'!K582)))</f>
      </c>
    </row>
    <row r="588" ht="12.75">
      <c r="S588" s="2">
        <f>IF(C588="","",IF('data input for RPA'!I583="N","N",IF('data input for RPA'!J583="N",'data input for RPA'!L583,'data input for RPA'!K583)))</f>
      </c>
    </row>
    <row r="589" ht="12.75">
      <c r="S589" s="2">
        <f>IF(C589="","",IF('data input for RPA'!I584="N","N",IF('data input for RPA'!J584="N",'data input for RPA'!L584,'data input for RPA'!K584)))</f>
      </c>
    </row>
    <row r="590" ht="12.75">
      <c r="S590" s="2">
        <f>IF(C590="","",IF('data input for RPA'!I585="N","N",IF('data input for RPA'!J585="N",'data input for RPA'!L585,'data input for RPA'!K585)))</f>
      </c>
    </row>
    <row r="591" ht="12.75">
      <c r="S591" s="2">
        <f>IF(C591="","",IF('data input for RPA'!I586="N","N",IF('data input for RPA'!J586="N",'data input for RPA'!L586,'data input for RPA'!K586)))</f>
      </c>
    </row>
    <row r="592" ht="12.75">
      <c r="S592" s="2">
        <f>IF(C592="","",IF('data input for RPA'!I587="N","N",IF('data input for RPA'!J587="N",'data input for RPA'!L587,'data input for RPA'!K587)))</f>
      </c>
    </row>
    <row r="593" ht="12.75">
      <c r="S593" s="2">
        <f>IF(C593="","",IF('data input for RPA'!I588="N","N",IF('data input for RPA'!J588="N",'data input for RPA'!L588,'data input for RPA'!K588)))</f>
      </c>
    </row>
    <row r="594" ht="12.75">
      <c r="S594" s="2">
        <f>IF(C594="","",IF('data input for RPA'!I589="N","N",IF('data input for RPA'!J589="N",'data input for RPA'!L589,'data input for RPA'!K589)))</f>
      </c>
    </row>
    <row r="595" ht="12.75">
      <c r="S595" s="2">
        <f>IF(C595="","",IF('data input for RPA'!I590="N","N",IF('data input for RPA'!J590="N",'data input for RPA'!L590,'data input for RPA'!K590)))</f>
      </c>
    </row>
    <row r="596" ht="12.75">
      <c r="S596" s="2">
        <f>IF(C596="","",IF('data input for RPA'!I591="N","N",IF('data input for RPA'!J591="N",'data input for RPA'!L591,'data input for RPA'!K591)))</f>
      </c>
    </row>
    <row r="597" ht="12.75">
      <c r="S597" s="2">
        <f>IF(C597="","",IF('data input for RPA'!I592="N","N",IF('data input for RPA'!J592="N",'data input for RPA'!L592,'data input for RPA'!K592)))</f>
      </c>
    </row>
    <row r="598" ht="12.75">
      <c r="S598" s="2">
        <f>IF(C598="","",IF('data input for RPA'!I593="N","N",IF('data input for RPA'!J593="N",'data input for RPA'!L593,'data input for RPA'!K593)))</f>
      </c>
    </row>
    <row r="599" ht="12.75">
      <c r="S599" s="2">
        <f>IF(C599="","",IF('data input for RPA'!I594="N","N",IF('data input for RPA'!J594="N",'data input for RPA'!L594,'data input for RPA'!K594)))</f>
      </c>
    </row>
    <row r="600" ht="12.75">
      <c r="S600" s="2">
        <f>IF(C600="","",IF('data input for RPA'!I595="N","N",IF('data input for RPA'!J595="N",'data input for RPA'!L595,'data input for RPA'!K595)))</f>
      </c>
    </row>
    <row r="601" ht="12.75">
      <c r="S601" s="2">
        <f>IF(C601="","",IF('data input for RPA'!I596="N","N",IF('data input for RPA'!J596="N",'data input for RPA'!L596,'data input for RPA'!K596)))</f>
      </c>
    </row>
    <row r="602" ht="12.75">
      <c r="S602" s="2">
        <f>IF(C602="","",IF('data input for RPA'!I597="N","N",IF('data input for RPA'!J597="N",'data input for RPA'!L597,'data input for RPA'!K597)))</f>
      </c>
    </row>
    <row r="603" ht="12.75">
      <c r="S603" s="2">
        <f>IF(C603="","",IF('data input for RPA'!I598="N","N",IF('data input for RPA'!J598="N",'data input for RPA'!L598,'data input for RPA'!K598)))</f>
      </c>
    </row>
    <row r="604" ht="12.75">
      <c r="S604" s="2">
        <f>IF(C604="","",IF('data input for RPA'!I599="N","N",IF('data input for RPA'!J599="N",'data input for RPA'!L599,'data input for RPA'!K599)))</f>
      </c>
    </row>
    <row r="605" ht="12.75">
      <c r="S605" s="2">
        <f>IF(C605="","",IF('data input for RPA'!I600="N","N",IF('data input for RPA'!J600="N",'data input for RPA'!L600,'data input for RPA'!K600)))</f>
      </c>
    </row>
    <row r="606" ht="12.75">
      <c r="S606" s="2">
        <f>IF(C606="","",IF('data input for RPA'!I601="N","N",IF('data input for RPA'!J601="N",'data input for RPA'!L601,'data input for RPA'!K601)))</f>
      </c>
    </row>
    <row r="607" ht="12.75">
      <c r="S607" s="2">
        <f>IF(C607="","",IF('data input for RPA'!I602="N","N",IF('data input for RPA'!J602="N",'data input for RPA'!L602,'data input for RPA'!K602)))</f>
      </c>
    </row>
    <row r="608" ht="12.75">
      <c r="S608" s="2">
        <f>IF(C608="","",IF('data input for RPA'!I603="N","N",IF('data input for RPA'!J603="N",'data input for RPA'!L603,'data input for RPA'!K603)))</f>
      </c>
    </row>
    <row r="609" ht="12.75">
      <c r="S609" s="2">
        <f>IF(C609="","",IF('data input for RPA'!I604="N","N",IF('data input for RPA'!J604="N",'data input for RPA'!L604,'data input for RPA'!K604)))</f>
      </c>
    </row>
    <row r="610" ht="12.75">
      <c r="S610" s="2">
        <f>IF(C610="","",IF('data input for RPA'!I605="N","N",IF('data input for RPA'!J605="N",'data input for RPA'!L605,'data input for RPA'!K605)))</f>
      </c>
    </row>
    <row r="611" ht="12.75">
      <c r="S611" s="2">
        <f>IF(C611="","",IF('data input for RPA'!I606="N","N",IF('data input for RPA'!J606="N",'data input for RPA'!L606,'data input for RPA'!K606)))</f>
      </c>
    </row>
    <row r="612" ht="12.75">
      <c r="S612" s="2">
        <f>IF(C612="","",IF('data input for RPA'!I607="N","N",IF('data input for RPA'!J607="N",'data input for RPA'!L607,'data input for RPA'!K607)))</f>
      </c>
    </row>
    <row r="613" ht="12.75">
      <c r="S613" s="2">
        <f>IF(C613="","",IF('data input for RPA'!I608="N","N",IF('data input for RPA'!J608="N",'data input for RPA'!L608,'data input for RPA'!K608)))</f>
      </c>
    </row>
    <row r="614" ht="12.75">
      <c r="S614" s="2">
        <f>IF(C614="","",IF('data input for RPA'!I609="N","N",IF('data input for RPA'!J609="N",'data input for RPA'!L609,'data input for RPA'!K609)))</f>
      </c>
    </row>
    <row r="615" ht="12.75">
      <c r="S615" s="2">
        <f>IF(C615="","",IF('data input for RPA'!I610="N","N",IF('data input for RPA'!J610="N",'data input for RPA'!L610,'data input for RPA'!K610)))</f>
      </c>
    </row>
    <row r="616" ht="12.75">
      <c r="S616" s="2">
        <f>IF(C616="","",IF('data input for RPA'!I611="N","N",IF('data input for RPA'!J611="N",'data input for RPA'!L611,'data input for RPA'!K611)))</f>
      </c>
    </row>
    <row r="617" ht="12.75">
      <c r="S617" s="2">
        <f>IF(C617="","",IF('data input for RPA'!I612="N","N",IF('data input for RPA'!J612="N",'data input for RPA'!L612,'data input for RPA'!K612)))</f>
      </c>
    </row>
    <row r="618" ht="12.75">
      <c r="S618" s="2">
        <f>IF(C618="","",IF('data input for RPA'!I613="N","N",IF('data input for RPA'!J613="N",'data input for RPA'!L613,'data input for RPA'!K613)))</f>
      </c>
    </row>
    <row r="619" ht="12.75">
      <c r="S619" s="2">
        <f>IF(C619="","",IF('data input for RPA'!I614="N","N",IF('data input for RPA'!J614="N",'data input for RPA'!L614,'data input for RPA'!K614)))</f>
      </c>
    </row>
    <row r="620" ht="12.75">
      <c r="S620" s="2">
        <f>IF(C620="","",IF('data input for RPA'!I615="N","N",IF('data input for RPA'!J615="N",'data input for RPA'!L615,'data input for RPA'!K615)))</f>
      </c>
    </row>
    <row r="621" ht="12.75">
      <c r="S621" s="2">
        <f>IF(C621="","",IF('data input for RPA'!I616="N","N",IF('data input for RPA'!J616="N",'data input for RPA'!L616,'data input for RPA'!K616)))</f>
      </c>
    </row>
    <row r="622" ht="12.75">
      <c r="S622" s="2">
        <f>IF(C622="","",IF('data input for RPA'!I617="N","N",IF('data input for RPA'!J617="N",'data input for RPA'!L617,'data input for RPA'!K617)))</f>
      </c>
    </row>
    <row r="623" ht="12.75">
      <c r="S623" s="2">
        <f>IF(C623="","",IF('data input for RPA'!I618="N","N",IF('data input for RPA'!J618="N",'data input for RPA'!L618,'data input for RPA'!K618)))</f>
      </c>
    </row>
    <row r="624" ht="12.75">
      <c r="S624" s="2">
        <f>IF(C624="","",IF('data input for RPA'!I619="N","N",IF('data input for RPA'!J619="N",'data input for RPA'!L619,'data input for RPA'!K619)))</f>
      </c>
    </row>
    <row r="625" ht="12.75">
      <c r="S625" s="2">
        <f>IF(C625="","",IF('data input for RPA'!I620="N","N",IF('data input for RPA'!J620="N",'data input for RPA'!L620,'data input for RPA'!K620)))</f>
      </c>
    </row>
    <row r="626" ht="12.75">
      <c r="S626" s="2">
        <f>IF(C626="","",IF('data input for RPA'!I621="N","N",IF('data input for RPA'!J621="N",'data input for RPA'!L621,'data input for RPA'!K621)))</f>
      </c>
    </row>
    <row r="627" ht="12.75">
      <c r="S627" s="2">
        <f>IF(C627="","",IF('data input for RPA'!I622="N","N",IF('data input for RPA'!J622="N",'data input for RPA'!L622,'data input for RPA'!K622)))</f>
      </c>
    </row>
    <row r="628" ht="12.75">
      <c r="S628" s="2">
        <f>IF(C628="","",IF('data input for RPA'!I623="N","N",IF('data input for RPA'!J623="N",'data input for RPA'!L623,'data input for RPA'!K623)))</f>
      </c>
    </row>
    <row r="629" ht="12.75">
      <c r="S629" s="2">
        <f>IF(C629="","",IF('data input for RPA'!I624="N","N",IF('data input for RPA'!J624="N",'data input for RPA'!L624,'data input for RPA'!K624)))</f>
      </c>
    </row>
    <row r="630" ht="12.75">
      <c r="S630" s="2">
        <f>IF(C630="","",IF('data input for RPA'!I625="N","N",IF('data input for RPA'!J625="N",'data input for RPA'!L625,'data input for RPA'!K625)))</f>
      </c>
    </row>
    <row r="631" ht="12.75">
      <c r="S631" s="2">
        <f>IF(C631="","",IF('data input for RPA'!I626="N","N",IF('data input for RPA'!J626="N",'data input for RPA'!L626,'data input for RPA'!K626)))</f>
      </c>
    </row>
    <row r="632" ht="12.75">
      <c r="S632" s="2">
        <f>IF(C632="","",IF('data input for RPA'!I627="N","N",IF('data input for RPA'!J627="N",'data input for RPA'!L627,'data input for RPA'!K627)))</f>
      </c>
    </row>
    <row r="633" ht="12.75">
      <c r="S633" s="2">
        <f>IF(C633="","",IF('data input for RPA'!I628="N","N",IF('data input for RPA'!J628="N",'data input for RPA'!L628,'data input for RPA'!K628)))</f>
      </c>
    </row>
    <row r="634" ht="12.75">
      <c r="S634" s="2">
        <f>IF(C634="","",IF('data input for RPA'!I629="N","N",IF('data input for RPA'!J629="N",'data input for RPA'!L629,'data input for RPA'!K629)))</f>
      </c>
    </row>
    <row r="635" ht="12.75">
      <c r="S635" s="2">
        <f>IF(C635="","",IF('data input for RPA'!I630="N","N",IF('data input for RPA'!J630="N",'data input for RPA'!L630,'data input for RPA'!K630)))</f>
      </c>
    </row>
    <row r="636" ht="12.75">
      <c r="S636" s="2">
        <f>IF(C636="","",IF('data input for RPA'!I631="N","N",IF('data input for RPA'!J631="N",'data input for RPA'!L631,'data input for RPA'!K631)))</f>
      </c>
    </row>
    <row r="637" ht="12.75">
      <c r="S637" s="2">
        <f>IF(C637="","",IF('data input for RPA'!I632="N","N",IF('data input for RPA'!J632="N",'data input for RPA'!L632,'data input for RPA'!K632)))</f>
      </c>
    </row>
    <row r="638" ht="12.75">
      <c r="S638" s="2">
        <f>IF(C638="","",IF('data input for RPA'!I633="N","N",IF('data input for RPA'!J633="N",'data input for RPA'!L633,'data input for RPA'!K633)))</f>
      </c>
    </row>
    <row r="639" ht="12.75">
      <c r="S639" s="2">
        <f>IF(C639="","",IF('data input for RPA'!I634="N","N",IF('data input for RPA'!J634="N",'data input for RPA'!L634,'data input for RPA'!K634)))</f>
      </c>
    </row>
    <row r="640" ht="12.75">
      <c r="S640" s="2">
        <f>IF(C640="","",IF('data input for RPA'!I635="N","N",IF('data input for RPA'!J635="N",'data input for RPA'!L635,'data input for RPA'!K635)))</f>
      </c>
    </row>
    <row r="641" ht="12.75">
      <c r="S641" s="2">
        <f>IF(C641="","",IF('data input for RPA'!I636="N","N",IF('data input for RPA'!J636="N",'data input for RPA'!L636,'data input for RPA'!K636)))</f>
      </c>
    </row>
    <row r="642" ht="12.75">
      <c r="S642" s="2">
        <f>IF(C642="","",IF('data input for RPA'!I637="N","N",IF('data input for RPA'!J637="N",'data input for RPA'!L637,'data input for RPA'!K637)))</f>
      </c>
    </row>
    <row r="643" ht="12.75">
      <c r="S643" s="2">
        <f>IF(C643="","",IF('data input for RPA'!I638="N","N",IF('data input for RPA'!J638="N",'data input for RPA'!L638,'data input for RPA'!K638)))</f>
      </c>
    </row>
    <row r="644" ht="12.75">
      <c r="S644" s="2">
        <f>IF(C644="","",IF('data input for RPA'!I639="N","N",IF('data input for RPA'!J639="N",'data input for RPA'!L639,'data input for RPA'!K639)))</f>
      </c>
    </row>
    <row r="645" ht="12.75">
      <c r="S645" s="2">
        <f>IF(C645="","",IF('data input for RPA'!I640="N","N",IF('data input for RPA'!J640="N",'data input for RPA'!L640,'data input for RPA'!K640)))</f>
      </c>
    </row>
    <row r="646" ht="12.75">
      <c r="S646" s="2">
        <f>IF(C646="","",IF('data input for RPA'!I641="N","N",IF('data input for RPA'!J641="N",'data input for RPA'!L641,'data input for RPA'!K641)))</f>
      </c>
    </row>
    <row r="647" ht="12.75">
      <c r="S647" s="2">
        <f>IF(C647="","",IF('data input for RPA'!I642="N","N",IF('data input for RPA'!J642="N",'data input for RPA'!L642,'data input for RPA'!K642)))</f>
      </c>
    </row>
  </sheetData>
  <mergeCells count="4">
    <mergeCell ref="K7:Q7"/>
    <mergeCell ref="A9:A10"/>
    <mergeCell ref="B9:B10"/>
    <mergeCell ref="G7:H7"/>
  </mergeCells>
  <printOptions gridLines="1"/>
  <pageMargins left="0.75" right="0.75" top="1" bottom="1" header="0.5" footer="0.5"/>
  <pageSetup fitToHeight="1" fitToWidth="1" horizontalDpi="600" verticalDpi="600" orientation="landscape" scale="24" r:id="rId2"/>
  <headerFooter alignWithMargins="0">
    <oddHeader>&amp;CChevron Richmond Refinery
Attachment 3
WQBEL Calculations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Francisco Bay Regional Water Quality Control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Katen</dc:creator>
  <cp:keywords/>
  <dc:description/>
  <cp:lastModifiedBy>Staff</cp:lastModifiedBy>
  <cp:lastPrinted>2006-04-10T01:13:23Z</cp:lastPrinted>
  <dcterms:created xsi:type="dcterms:W3CDTF">2003-12-08T17:34:05Z</dcterms:created>
  <dcterms:modified xsi:type="dcterms:W3CDTF">2006-04-10T01:14:09Z</dcterms:modified>
  <cp:category/>
  <cp:version/>
  <cp:contentType/>
  <cp:contentStatus/>
</cp:coreProperties>
</file>