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activeTab="0"/>
  </bookViews>
  <sheets>
    <sheet name="Attachment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'[3]DGEF0696'!#REF!</definedName>
    <definedName name="\b">'[4]DIG1095'!#REF!</definedName>
    <definedName name="\c">'[3]DGEF0696'!#REF!</definedName>
    <definedName name="\d">'[3]DGEF0696'!#REF!</definedName>
    <definedName name="\e">'[3]DGEF0696'!#REF!</definedName>
    <definedName name="\f">'[2]Metals'!#REF!</definedName>
    <definedName name="\g">#REF!</definedName>
    <definedName name="\i">'[3]DGEF0696'!#REF!</definedName>
    <definedName name="\p">#REF!</definedName>
    <definedName name="\s">#N/A</definedName>
    <definedName name="\w">'[3]DGEF0696'!#REF!</definedName>
    <definedName name="\y">'[5]BACT1295'!$A$43</definedName>
    <definedName name="\z">#REF!</definedName>
    <definedName name="AAMACRO">'[3]DGEF0696'!#REF!</definedName>
    <definedName name="ABMACRO">'[3]DGEF0696'!#REF!</definedName>
    <definedName name="BIOCALC">#REF!</definedName>
    <definedName name="COLIFORM">'[5]BACT1295'!$J$9</definedName>
    <definedName name="DAY">'[3]DGEF0696'!#REF!</definedName>
    <definedName name="header">#REF!</definedName>
    <definedName name="Print_Area_MI">#REF!</definedName>
    <definedName name="TIME">'[5]BACT1295'!$B$9</definedName>
  </definedNames>
  <calcPr fullCalcOnLoad="1"/>
</workbook>
</file>

<file path=xl/comments1.xml><?xml version="1.0" encoding="utf-8"?>
<comments xmlns="http://schemas.openxmlformats.org/spreadsheetml/2006/main">
  <authors>
    <author>laducan</author>
  </authors>
  <commentList>
    <comment ref="B8" authorId="0">
      <text>
        <r>
          <rPr>
            <sz val="8"/>
            <rFont val="Tahoma"/>
            <family val="0"/>
          </rPr>
          <t>If the sampling frequency is four times a month or less, set n= 4; see pg 8 of SIP.</t>
        </r>
      </text>
    </comment>
    <comment ref="B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B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B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D8" authorId="0">
      <text>
        <r>
          <rPr>
            <sz val="8"/>
            <rFont val="Tahoma"/>
            <family val="0"/>
          </rPr>
          <t>If the sampling frequency is four times a month or less, set n= 4; see pg 8 of SIP.</t>
        </r>
      </text>
    </comment>
    <comment ref="D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D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D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B47" authorId="0">
      <text>
        <r>
          <rPr>
            <sz val="8"/>
            <rFont val="Tahoma"/>
            <family val="0"/>
          </rPr>
          <t xml:space="preserve">Daily Average
</t>
        </r>
      </text>
    </comment>
    <comment ref="D47" authorId="0">
      <text>
        <r>
          <rPr>
            <sz val="8"/>
            <rFont val="Tahoma"/>
            <family val="0"/>
          </rPr>
          <t xml:space="preserve">Daily Average
</t>
        </r>
      </text>
    </comment>
    <comment ref="F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F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F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B52" authorId="0">
      <text>
        <r>
          <rPr>
            <sz val="8"/>
            <rFont val="Tahoma"/>
            <family val="0"/>
          </rPr>
          <t xml:space="preserve">Daily Average
</t>
        </r>
      </text>
    </comment>
    <comment ref="E8" authorId="0">
      <text>
        <r>
          <rPr>
            <sz val="8"/>
            <rFont val="Tahoma"/>
            <family val="0"/>
          </rPr>
          <t>If the sampling frequency is four times a month or less, set n= 4; see pg 8 of SIP.</t>
        </r>
      </text>
    </comment>
    <comment ref="E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E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E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E47" authorId="0">
      <text>
        <r>
          <rPr>
            <sz val="8"/>
            <rFont val="Tahoma"/>
            <family val="0"/>
          </rPr>
          <t xml:space="preserve">Daily Average
</t>
        </r>
      </text>
    </comment>
    <comment ref="C8" authorId="0">
      <text>
        <r>
          <rPr>
            <sz val="8"/>
            <rFont val="Tahoma"/>
            <family val="0"/>
          </rPr>
          <t>If the sampling frequency is four times a month or less, set n= 4; see pg 8 of SIP.</t>
        </r>
      </text>
    </comment>
    <comment ref="C40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C41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C42" authorId="0">
      <text>
        <r>
          <rPr>
            <b/>
            <sz val="8"/>
            <rFont val="Tahoma"/>
            <family val="0"/>
          </rPr>
          <t>laducan:</t>
        </r>
        <r>
          <rPr>
            <sz val="8"/>
            <rFont val="Tahoma"/>
            <family val="0"/>
          </rPr>
          <t xml:space="preserve">
applicable only with HH criteria
</t>
        </r>
      </text>
    </comment>
    <comment ref="C47" authorId="0">
      <text>
        <r>
          <rPr>
            <sz val="8"/>
            <rFont val="Tahoma"/>
            <family val="0"/>
          </rPr>
          <t xml:space="preserve">Daily Average
</t>
        </r>
      </text>
    </comment>
    <comment ref="C52" authorId="0">
      <text>
        <r>
          <rPr>
            <sz val="8"/>
            <rFont val="Tahoma"/>
            <family val="0"/>
          </rPr>
          <t xml:space="preserve">Daily Average
</t>
        </r>
      </text>
    </comment>
  </commentList>
</comments>
</file>

<file path=xl/sharedStrings.xml><?xml version="1.0" encoding="utf-8"?>
<sst xmlns="http://schemas.openxmlformats.org/spreadsheetml/2006/main" count="83" uniqueCount="57">
  <si>
    <t>PRIORITY POLLUTANTS</t>
  </si>
  <si>
    <t>Copper</t>
  </si>
  <si>
    <t>Cyanide</t>
  </si>
  <si>
    <t>Alt Cyanide</t>
  </si>
  <si>
    <t>Dioxin</t>
  </si>
  <si>
    <t>Basis and Criteria type</t>
  </si>
  <si>
    <t xml:space="preserve">CTR SW </t>
  </si>
  <si>
    <t>CTR SW</t>
  </si>
  <si>
    <t>SSO</t>
  </si>
  <si>
    <t>HH</t>
  </si>
  <si>
    <t>Lowest WQO</t>
  </si>
  <si>
    <t>Translators</t>
  </si>
  <si>
    <t>Dilution Factor (D) (if applicable)</t>
  </si>
  <si>
    <t>no. of samples per month</t>
  </si>
  <si>
    <t>Aquatic life criteria analysis required? (Y/N)</t>
  </si>
  <si>
    <t>Y</t>
  </si>
  <si>
    <t>N</t>
  </si>
  <si>
    <t>HH criteria analysis required? (Y/N)</t>
  </si>
  <si>
    <t>Applicable Acute WQO</t>
  </si>
  <si>
    <t>Applicable Chronic WQO</t>
  </si>
  <si>
    <t>HH criteria</t>
  </si>
  <si>
    <t>Background (max conc for Aq Life calc)</t>
  </si>
  <si>
    <t>Background (avg conc for HH calc)</t>
  </si>
  <si>
    <t>Is the pollutant Bioaccumulative(Y/N)? (e.g., Hg)</t>
  </si>
  <si>
    <t>ECA acute</t>
  </si>
  <si>
    <t>ECA chronic</t>
  </si>
  <si>
    <t>ECA HH</t>
  </si>
  <si>
    <t>No. of data points &lt;10 or atleast 80% of data reported non detect? (Y/N)</t>
  </si>
  <si>
    <t>avg of data points</t>
  </si>
  <si>
    <t>SD</t>
  </si>
  <si>
    <t>CV calculated</t>
  </si>
  <si>
    <t>CV (Selected) - Final</t>
  </si>
  <si>
    <t>ECA acute mult99</t>
  </si>
  <si>
    <t>ECA chronic mult99</t>
  </si>
  <si>
    <t>LTA acute</t>
  </si>
  <si>
    <t>LTA chronic</t>
  </si>
  <si>
    <t>minimum of LTAs</t>
  </si>
  <si>
    <t>AMEL mult95</t>
  </si>
  <si>
    <t>MDEL mult99</t>
  </si>
  <si>
    <t>AMEL (aq life)</t>
  </si>
  <si>
    <t>MDEL(aq life)</t>
  </si>
  <si>
    <t xml:space="preserve">MDEL/AMEL Multiplier </t>
  </si>
  <si>
    <t>AMEL (human hlth)</t>
  </si>
  <si>
    <t>MDEL (human hlth)</t>
  </si>
  <si>
    <t>minimum of AMEL for Aq. life vs HH</t>
  </si>
  <si>
    <t>minimum of MDEL for Aq. Life vs HH</t>
  </si>
  <si>
    <t>Current limit in permit (30-d avg)</t>
  </si>
  <si>
    <t>N/A</t>
  </si>
  <si>
    <t>Current limits in permit (daily)</t>
  </si>
  <si>
    <t>Final limit - AMEL</t>
  </si>
  <si>
    <t>Final limit - MDEL</t>
  </si>
  <si>
    <t>Max Effl Conc (MEC)</t>
  </si>
  <si>
    <t>.</t>
  </si>
  <si>
    <t>Alt Copper</t>
  </si>
  <si>
    <t>0.74, 0.88</t>
  </si>
  <si>
    <t xml:space="preserve">Interim Limits </t>
  </si>
  <si>
    <t>Water Effects Ratio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</si>
</sst>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.000"/>
    <numFmt numFmtId="168" formatCode="0.000000000"/>
    <numFmt numFmtId="169" formatCode="#,##0.000000000"/>
    <numFmt numFmtId="170" formatCode="0.00000"/>
    <numFmt numFmtId="171" formatCode="#,##0.00000"/>
    <numFmt numFmtId="172" formatCode="#,##0.0000"/>
    <numFmt numFmtId="173" formatCode="0.0000"/>
    <numFmt numFmtId="174" formatCode="0.000000"/>
    <numFmt numFmtId="175" formatCode="0.00000000000000"/>
    <numFmt numFmtId="176" formatCode="0.000E+00"/>
    <numFmt numFmtId="177" formatCode="mm/dd/yy"/>
    <numFmt numFmtId="178" formatCode="0.0000000"/>
    <numFmt numFmtId="179" formatCode="0.00000000"/>
    <numFmt numFmtId="180" formatCode="0."/>
    <numFmt numFmtId="181" formatCode="0.00000000000"/>
    <numFmt numFmtId="182" formatCode="0_);\(0\)"/>
    <numFmt numFmtId="183" formatCode="0.0E+00"/>
    <numFmt numFmtId="184" formatCode="0.00000E+00"/>
    <numFmt numFmtId="185" formatCode="0.E+00"/>
    <numFmt numFmtId="186" formatCode="0.0%"/>
    <numFmt numFmtId="187" formatCode="0.0_)"/>
    <numFmt numFmtId="188" formatCode="#,##0.000000"/>
    <numFmt numFmtId="189" formatCode="#,##0.0000000"/>
    <numFmt numFmtId="190" formatCode="#,##0.00000000"/>
    <numFmt numFmtId="191" formatCode="0.00_)"/>
    <numFmt numFmtId="192" formatCode="0_)"/>
    <numFmt numFmtId="193" formatCode="General_)"/>
    <numFmt numFmtId="194" formatCode="0.000_)"/>
    <numFmt numFmtId="195" formatCode="##.0"/>
    <numFmt numFmtId="196" formatCode="##"/>
    <numFmt numFmtId="197" formatCode="##.00"/>
    <numFmt numFmtId="198" formatCode="#,##0.0_);[Red]\(#,##0.0\)"/>
    <numFmt numFmtId="199" formatCode="0.0000_)"/>
    <numFmt numFmtId="200" formatCode="0.00000_)"/>
    <numFmt numFmtId="201" formatCode="dd\-mmm\-yy_)"/>
    <numFmt numFmtId="202" formatCode="&quot;$&quot;#,##0"/>
    <numFmt numFmtId="203" formatCode="&quot;$&quot;#,##0.0_);[Red]\(&quot;$&quot;#,##0.0\)"/>
    <numFmt numFmtId="204" formatCode="0.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0000000E+00"/>
    <numFmt numFmtId="209" formatCode="0;\-0;;@"/>
    <numFmt numFmtId="210" formatCode="_(* #,##0.000_);_(* \(#,##0.000\);_(* &quot;-&quot;??_);_(@_)"/>
    <numFmt numFmtId="211" formatCode="_(* #,##0.0_);_(* \(#,##0.0\);_(* &quot;-&quot;??_);_(@_)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_(* #,##0.0000000_);_(* \(#,##0.0000000\);_(* &quot;-&quot;??_);_(@_)"/>
    <numFmt numFmtId="216" formatCode="_(* #,##0.00000000_);_(* \(#,##0.00000000\);_(* &quot;-&quot;??_);_(@_)"/>
    <numFmt numFmtId="217" formatCode="_(* #,##0_);_(* \(#,##0\);_(* &quot;-&quot;??_);_(@_)"/>
    <numFmt numFmtId="218" formatCode="_(* #,##0.000000000_);_(* \(#,##0.000000000\);_(* &quot;-&quot;??_);_(@_)"/>
    <numFmt numFmtId="219" formatCode="[$-409]dddd\,\ mmmm\ dd\,\ yyyy"/>
    <numFmt numFmtId="220" formatCode="[$-409]mmm\-yy;@"/>
    <numFmt numFmtId="221" formatCode="mmm\-yyyy"/>
  </numFmts>
  <fonts count="10">
    <font>
      <sz val="10"/>
      <name val="Arial"/>
      <family val="0"/>
    </font>
    <font>
      <sz val="8"/>
      <color indexed="23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2" borderId="1" applyFill="0" applyBorder="0" applyProtection="0">
      <alignment horizont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left"/>
    </xf>
    <xf numFmtId="2" fontId="5" fillId="0" borderId="2" xfId="0" applyNumberFormat="1" applyFont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8" fontId="5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170" fontId="5" fillId="0" borderId="2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2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170" fontId="7" fillId="0" borderId="2" xfId="0" applyNumberFormat="1" applyFont="1" applyBorder="1" applyAlignment="1">
      <alignment horizontal="right"/>
    </xf>
    <xf numFmtId="168" fontId="7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" fontId="5" fillId="0" borderId="5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/>
    </xf>
    <xf numFmtId="11" fontId="5" fillId="0" borderId="2" xfId="0" applyNumberFormat="1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2" fontId="6" fillId="0" borderId="2" xfId="0" applyNumberFormat="1" applyFont="1" applyBorder="1" applyAlignment="1">
      <alignment horizontal="right"/>
    </xf>
  </cellXfs>
  <cellStyles count="9">
    <cellStyle name="Normal" xfId="0"/>
    <cellStyle name="archive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NPDES%20Group\CA%20Permits\RB%202\Sonoma\To%20RB%20for%20review\Tt%20Sonoma%20RP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N's%20stuff\San%20Mateo%20City\San%20Mateo%20Data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PLANT\1996JU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IG1095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PLANT\EXCEL\ARCHIVE\1995DE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SUMMARY\1997sum_b&amp;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AFORMS\AWKSRE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A (2)"/>
      <sheetName val="CuHgZn-Raw Monitoring data"/>
      <sheetName val="Metals+CN+TBT(Data)"/>
      <sheetName val="Organics Data"/>
      <sheetName val="Metals Data + Mini RPA"/>
      <sheetName val="criteria calculations"/>
      <sheetName val="RPA"/>
      <sheetName val="Limits Calculations"/>
      <sheetName val="Hg Mass Analysis "/>
      <sheetName val="Interim Limi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 Avg WCL"/>
      <sheetName val="Metals"/>
      <sheetName val="BOD"/>
      <sheetName val="Coli"/>
      <sheetName val="NH3"/>
      <sheetName val="Sett Mat pH"/>
      <sheetName val="Temp DO"/>
      <sheetName val="Toxicity"/>
      <sheetName val="Turb Cl2"/>
      <sheetName val="TS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CT0696"/>
      <sheetName val="BIO0696"/>
      <sheetName val="CL20696"/>
      <sheetName val="DGEF069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G109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T1295"/>
    </sheetNames>
    <sheetDataSet>
      <sheetData sheetId="0">
        <row r="9">
          <cell r="B9">
            <v>1250</v>
          </cell>
          <cell r="J9">
            <v>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LOW"/>
      <sheetName val="RAIN_FLOW"/>
      <sheetName val="GT_DAFTS"/>
      <sheetName val="VF_SLD"/>
      <sheetName val="DGFD_AN"/>
      <sheetName val="DGFD_LD"/>
      <sheetName val="DIG_AN"/>
      <sheetName val="AD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CT"/>
      <sheetName val="BIOA"/>
      <sheetName val="CL2"/>
      <sheetName val="EFFC"/>
      <sheetName val="EFFG"/>
      <sheetName val="EFSO"/>
      <sheetName val="INF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F57"/>
  <sheetViews>
    <sheetView tabSelected="1" zoomScale="120" zoomScaleNormal="12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140625" defaultRowHeight="12.75"/>
  <cols>
    <col min="1" max="1" width="34.140625" style="0" customWidth="1"/>
    <col min="2" max="3" width="10.7109375" style="0" customWidth="1"/>
    <col min="4" max="5" width="12.7109375" style="48" customWidth="1"/>
    <col min="6" max="6" width="12.421875" style="0" customWidth="1"/>
  </cols>
  <sheetData>
    <row r="1" ht="12.75"/>
    <row r="2" spans="1:6" ht="12.75">
      <c r="A2" s="1" t="s">
        <v>0</v>
      </c>
      <c r="B2" s="1" t="s">
        <v>1</v>
      </c>
      <c r="C2" s="1" t="s">
        <v>53</v>
      </c>
      <c r="D2" s="2" t="s">
        <v>2</v>
      </c>
      <c r="E2" s="2" t="s">
        <v>3</v>
      </c>
      <c r="F2" s="3" t="s">
        <v>4</v>
      </c>
    </row>
    <row r="3" spans="1:6" ht="12.75">
      <c r="A3" s="4" t="s">
        <v>5</v>
      </c>
      <c r="B3" s="5" t="s">
        <v>6</v>
      </c>
      <c r="C3" s="5" t="s">
        <v>6</v>
      </c>
      <c r="D3" s="5" t="s">
        <v>7</v>
      </c>
      <c r="E3" s="5" t="s">
        <v>8</v>
      </c>
      <c r="F3" s="6" t="s">
        <v>9</v>
      </c>
    </row>
    <row r="4" spans="1:6" ht="12.75">
      <c r="A4" s="7" t="s">
        <v>10</v>
      </c>
      <c r="B4" s="8">
        <v>4.19</v>
      </c>
      <c r="C4" s="8">
        <v>8.11</v>
      </c>
      <c r="D4" s="9">
        <v>1</v>
      </c>
      <c r="E4" s="9">
        <v>2.9</v>
      </c>
      <c r="F4" s="10">
        <v>1.4E-08</v>
      </c>
    </row>
    <row r="5" spans="1:6" ht="12.75">
      <c r="A5" s="7" t="s">
        <v>11</v>
      </c>
      <c r="B5" s="50" t="s">
        <v>54</v>
      </c>
      <c r="C5" s="50" t="s">
        <v>54</v>
      </c>
      <c r="D5" s="12"/>
      <c r="E5" s="12"/>
      <c r="F5" s="11"/>
    </row>
    <row r="6" spans="1:6" ht="12.75">
      <c r="A6" s="7" t="s">
        <v>56</v>
      </c>
      <c r="B6" s="50">
        <v>2.4</v>
      </c>
      <c r="C6" s="50">
        <v>2.4</v>
      </c>
      <c r="D6" s="12"/>
      <c r="E6" s="12"/>
      <c r="F6" s="11"/>
    </row>
    <row r="7" spans="1:6" ht="12.75">
      <c r="A7" s="7" t="s">
        <v>12</v>
      </c>
      <c r="B7" s="13">
        <v>9</v>
      </c>
      <c r="C7" s="13">
        <v>9</v>
      </c>
      <c r="D7" s="14">
        <v>9</v>
      </c>
      <c r="E7" s="14">
        <v>9</v>
      </c>
      <c r="F7" s="13">
        <v>9</v>
      </c>
    </row>
    <row r="8" spans="1:6" ht="12.75">
      <c r="A8" s="7" t="s">
        <v>13</v>
      </c>
      <c r="B8" s="13">
        <v>4</v>
      </c>
      <c r="C8" s="13">
        <v>4</v>
      </c>
      <c r="D8" s="14">
        <v>4</v>
      </c>
      <c r="E8" s="14">
        <v>4</v>
      </c>
      <c r="F8" s="13">
        <v>4</v>
      </c>
    </row>
    <row r="9" spans="1:6" ht="12.75">
      <c r="A9" s="15" t="s">
        <v>14</v>
      </c>
      <c r="B9" s="13" t="s">
        <v>15</v>
      </c>
      <c r="C9" s="13" t="s">
        <v>15</v>
      </c>
      <c r="D9" s="14" t="s">
        <v>15</v>
      </c>
      <c r="E9" s="14" t="s">
        <v>15</v>
      </c>
      <c r="F9" s="13" t="s">
        <v>16</v>
      </c>
    </row>
    <row r="10" spans="1:6" ht="12.75">
      <c r="A10" s="16" t="s">
        <v>17</v>
      </c>
      <c r="B10" s="13" t="s">
        <v>16</v>
      </c>
      <c r="C10" s="13" t="s">
        <v>16</v>
      </c>
      <c r="D10" s="14" t="s">
        <v>15</v>
      </c>
      <c r="E10" s="14" t="s">
        <v>15</v>
      </c>
      <c r="F10" s="13" t="s">
        <v>15</v>
      </c>
    </row>
    <row r="11" spans="1:6" ht="12.75">
      <c r="A11" s="7"/>
      <c r="B11" s="13"/>
      <c r="C11" s="13"/>
      <c r="D11" s="14"/>
      <c r="E11" s="14"/>
      <c r="F11" s="13"/>
    </row>
    <row r="12" spans="1:6" ht="12.75">
      <c r="A12" s="15" t="s">
        <v>18</v>
      </c>
      <c r="B12" s="17">
        <v>13.08</v>
      </c>
      <c r="C12" s="17">
        <v>10.64</v>
      </c>
      <c r="D12" s="18">
        <v>1</v>
      </c>
      <c r="E12" s="18">
        <v>9.4</v>
      </c>
      <c r="F12" s="19"/>
    </row>
    <row r="13" spans="1:6" ht="12.75">
      <c r="A13" s="15" t="s">
        <v>19</v>
      </c>
      <c r="B13" s="17">
        <v>10.01</v>
      </c>
      <c r="C13" s="17">
        <v>8.11</v>
      </c>
      <c r="D13" s="18">
        <v>1</v>
      </c>
      <c r="E13" s="18">
        <v>2.9</v>
      </c>
      <c r="F13" s="19"/>
    </row>
    <row r="14" spans="1:6" ht="12.75">
      <c r="A14" s="16" t="s">
        <v>20</v>
      </c>
      <c r="B14" s="13"/>
      <c r="C14" s="13"/>
      <c r="D14" s="20">
        <v>220000</v>
      </c>
      <c r="E14" s="20">
        <v>220000</v>
      </c>
      <c r="F14" s="10">
        <v>1.4E-08</v>
      </c>
    </row>
    <row r="15" spans="1:6" ht="12.75">
      <c r="A15" s="15" t="s">
        <v>21</v>
      </c>
      <c r="B15" s="13">
        <v>2.45</v>
      </c>
      <c r="C15" s="13">
        <v>2.45</v>
      </c>
      <c r="D15" s="13">
        <v>0.4</v>
      </c>
      <c r="E15" s="13">
        <v>0.4</v>
      </c>
      <c r="F15" s="13">
        <v>0.071</v>
      </c>
    </row>
    <row r="16" spans="1:6" ht="12.75">
      <c r="A16" s="16" t="s">
        <v>22</v>
      </c>
      <c r="B16" s="13"/>
      <c r="C16" s="13"/>
      <c r="D16" s="21">
        <v>0.4</v>
      </c>
      <c r="E16" s="21">
        <v>0.4</v>
      </c>
      <c r="F16" s="19">
        <v>0.03165</v>
      </c>
    </row>
    <row r="17" spans="1:6" ht="12.75">
      <c r="A17" s="7" t="s">
        <v>23</v>
      </c>
      <c r="B17" s="13" t="s">
        <v>16</v>
      </c>
      <c r="C17" s="13" t="s">
        <v>16</v>
      </c>
      <c r="D17" s="14" t="s">
        <v>16</v>
      </c>
      <c r="E17" s="14" t="s">
        <v>16</v>
      </c>
      <c r="F17" s="13" t="s">
        <v>15</v>
      </c>
    </row>
    <row r="18" spans="1:6" ht="12.75">
      <c r="A18" s="7"/>
      <c r="B18" s="13"/>
      <c r="C18" s="13"/>
      <c r="D18" s="14"/>
      <c r="E18" s="14"/>
      <c r="F18" s="13"/>
    </row>
    <row r="19" spans="1:6" ht="12.75">
      <c r="A19" s="15" t="s">
        <v>24</v>
      </c>
      <c r="B19" s="22">
        <f>IF(B9="Y",IF(B12="","Enter Acute WQO",IF(B15="",B12,IF(B12&lt;=B15,B12,IF(B17="Y",B12,IF(B17="N",IF(B7="",B12,B12+B7*(B12-B15)),"Enter Y/N for bioaccumulative"))))),IF(B9="N","","Enter Y/N for 'Aq life criteria reqd?'"))</f>
        <v>108.74999999999999</v>
      </c>
      <c r="C19" s="22">
        <f>IF(C9="Y",IF(C12="","Enter Acute WQO",IF(C15="",C12,IF(C12&lt;=C15,C12,IF(C17="Y",C12,IF(C17="N",IF(C7="",C12,C12+C7*(C12-C15)),"Enter Y/N for bioaccumulative"))))),IF(C9="N","","Enter Y/N for 'Aq life criteria reqd?'"))</f>
        <v>84.35000000000001</v>
      </c>
      <c r="D19" s="23">
        <f>IF(D9="Y",IF(D12="","Enter Acute WQO",IF(D15="",D12,IF(D12&lt;=D15,D12,IF(D17="Y",D12,IF(D17="N",IF(D7="",D12,D12+D7*(D12-D15)),"Enter Y/N for bioaccumulative"))))),IF(D9="N","","Enter Y/N for 'Aq life criteria reqd?'"))</f>
        <v>6.3999999999999995</v>
      </c>
      <c r="E19" s="23">
        <f>IF(E9="Y",IF(E12="","Enter Acute WQO",IF(E15="",E12,IF(E12&lt;=E15,E12,IF(E17="Y",E12,IF(E17="N",IF(E7="",E12,E12+E7*(E12-E15)),"Enter Y/N for bioaccumulative"))))),IF(E9="N","","Enter Y/N for 'Aq life criteria reqd?'"))</f>
        <v>90.4</v>
      </c>
      <c r="F19" s="22">
        <f>IF(F9="Y",IF(F12="","No Acute WQO",IF(F15="",F12,IF(F12&lt;=F15,F12,IF(F17="Y",F12,IF(F17="N",IF(F7="",F12,F12+F7*(F12-F15)),"Enter Y/N for bioaccumulative"))))),IF(F9="N","","Enter Y/N for 'Aq life criteria reqd?'"))</f>
      </c>
    </row>
    <row r="20" spans="1:6" ht="12.75">
      <c r="A20" s="15" t="s">
        <v>25</v>
      </c>
      <c r="B20" s="22">
        <f>IF(B9="Y",IF(B13="","Enter Chronic WQO",IF(B15="",B13,IF(B13&lt;=B15,B13,IF(B17="Y",B13,IF(B17="N",IF(B7="",B13,B13+B7*(B13-B15)),"Enter Y/N for bioaccumulative"))))),IF(B9="N","","Enter Y/N for 'Aq life criteria reqd?'"))</f>
        <v>78.05</v>
      </c>
      <c r="C20" s="22">
        <f>IF(C9="Y",IF(C13="","Enter Chronic WQO",IF(C15="",C13,IF(C13&lt;=C15,C13,IF(C17="Y",C13,IF(C17="N",IF(C7="",C13,C13+C7*(C13-C15)),"Enter Y/N for bioaccumulative"))))),IF(C9="N","","Enter Y/N for 'Aq life criteria reqd?'"))</f>
        <v>59.04999999999999</v>
      </c>
      <c r="D20" s="24">
        <f>IF(D9="Y",IF(D13="","Enter Chronic WQO",IF(D15="",D13,IF(D13&lt;=D15,D13,IF(D17="Y",D13,IF(D17="N",IF(D7="",D13,D13+D7*(D13-D15)),"Enter Y/N for bioaccumulative"))))),IF(D9="N","","Enter Y/N for 'Aq life criteria reqd?'"))</f>
        <v>6.3999999999999995</v>
      </c>
      <c r="E20" s="24">
        <f>IF(E9="Y",IF(E13="","Enter Chronic WQO",IF(E15="",E13,IF(E13&lt;=E15,E13,IF(E17="Y",E13,IF(E17="N",IF(E7="",E13,E13+E7*(E13-E15)),"Enter Y/N for bioaccumulative"))))),IF(E9="N","","Enter Y/N for 'Aq life criteria reqd?'"))</f>
        <v>25.4</v>
      </c>
      <c r="F20" s="22">
        <f>IF(F9="Y",IF(F13="","No Chronic WQO",IF(F15="",F13,IF(F13&lt;=F15,F13,IF(F17="Y",F13,IF(F17="N",IF(F7="",F13,F13+F7*(F13-F15)),"Enter Y/N for bioaccumulative"))))),IF(F9="N","","Enter Y/N for 'Aq life criteria reqd?'"))</f>
      </c>
    </row>
    <row r="21" spans="1:6" ht="12.75">
      <c r="A21" s="16" t="s">
        <v>26</v>
      </c>
      <c r="B21" s="22">
        <f>IF(B10="Y",IF(B14="","Enter HH criteria",IF(B16="",B14,IF(B14&lt;=B16,B14,IF(B17="Y",B14,IF(B17="N",IF(B7="",B14,B14+B7*(B14-B16)),"Enter Y/N for bioaccumulative"))))),IF(B10="N","","Enter Y/N for 'HH criteria reqd?'"))</f>
      </c>
      <c r="C21" s="22">
        <f>IF(C10="Y",IF(C14="","Enter HH criteria",IF(C16="",C14,IF(C14&lt;=C16,C14,IF(C17="Y",C14,IF(C17="N",IF(C7="",C14,C14+C7*(C14-C16)),"Enter Y/N for bioaccumulative"))))),IF(C10="N","","Enter Y/N for 'HH criteria reqd?'"))</f>
      </c>
      <c r="D21" s="25">
        <f>IF(D10="Y",IF(D14="","Enter HH criteria",IF(D16="",D14,IF(D14&lt;=D16,D14,IF(D17="Y",D14,IF(D17="N",IF(D7="",D14,D14+D7*(D14-D16)),"Enter Y/N for bioaccumulative"))))),IF(D10="N","","Enter Y/N for 'HH criteria reqd?'"))</f>
        <v>2199996.4000000004</v>
      </c>
      <c r="E21" s="25">
        <f>IF(E10="Y",IF(E14="","Enter HH criteria",IF(E16="",E14,IF(E14&lt;=E16,E14,IF(E17="Y",E14,IF(E17="N",IF(E7="",E14,E14+E7*(E14-E16)),"Enter Y/N for bioaccumulative"))))),IF(E10="N","","Enter Y/N for 'HH criteria reqd?'"))</f>
        <v>2199996.4000000004</v>
      </c>
      <c r="F21" s="22">
        <f>IF(F10="Y",IF(F14="","Enter HH criteria",IF(F16="",F14,IF(F14&lt;=F16,F14,IF(F17="Y",F14,IF(F17="N",IF(F7="",F14,F14+F7*(F14-F16)),"Enter Y/N for bioaccumulative"))))),IF(F10="N","","Enter Y/N for 'HH criteria reqd?'"))</f>
        <v>1.4E-08</v>
      </c>
    </row>
    <row r="22" spans="1:6" ht="12.75">
      <c r="A22" s="7"/>
      <c r="B22" s="13"/>
      <c r="C22" s="13"/>
      <c r="D22" s="14"/>
      <c r="E22" s="14"/>
      <c r="F22" s="13"/>
    </row>
    <row r="23" spans="1:6" ht="22.5">
      <c r="A23" s="26" t="s">
        <v>27</v>
      </c>
      <c r="B23" s="8" t="s">
        <v>15</v>
      </c>
      <c r="C23" s="8" t="s">
        <v>15</v>
      </c>
      <c r="D23" s="27" t="s">
        <v>15</v>
      </c>
      <c r="E23" s="27" t="s">
        <v>15</v>
      </c>
      <c r="F23" s="8" t="s">
        <v>15</v>
      </c>
    </row>
    <row r="24" spans="1:6" ht="12.75">
      <c r="A24" s="7" t="s">
        <v>28</v>
      </c>
      <c r="B24" s="28"/>
      <c r="C24" s="28"/>
      <c r="D24" s="29"/>
      <c r="E24" s="29"/>
      <c r="F24" s="8"/>
    </row>
    <row r="25" spans="1:6" ht="12.75">
      <c r="A25" s="7" t="s">
        <v>29</v>
      </c>
      <c r="B25" s="28"/>
      <c r="C25" s="28"/>
      <c r="D25" s="29"/>
      <c r="E25" s="29"/>
      <c r="F25" s="8"/>
    </row>
    <row r="26" spans="1:6" ht="12.75">
      <c r="A26" s="7" t="s">
        <v>30</v>
      </c>
      <c r="B26" s="30" t="str">
        <f>IF(B23="N",IF(B24="","Enter avg of data points",IF(B25="","Enter SD",B25/B24)),IF(B23="Y","N/A","Enter Y/N in Row 23"))</f>
        <v>N/A</v>
      </c>
      <c r="C26" s="30" t="str">
        <f>IF(C23="N",IF(C24="","Enter avg of data points",IF(C25="","Enter SD",C25/C24)),IF(C23="Y","N/A","Enter Y/N in Row 23"))</f>
        <v>N/A</v>
      </c>
      <c r="D26" s="31" t="str">
        <f>IF(D23="N",IF(D24="","Enter avg of data points",IF(D25="","Enter SD",D25/D24)),IF(D23="Y","N/A","Enter Y/N in Row 23"))</f>
        <v>N/A</v>
      </c>
      <c r="E26" s="31" t="str">
        <f>IF(E23="N",IF(E24="","Enter avg of data points",IF(E25="","Enter SD",E25/E24)),IF(E23="Y","N/A","Enter Y/N in Row 23"))</f>
        <v>N/A</v>
      </c>
      <c r="F26" s="30" t="str">
        <f>IF(F23="N",IF(F24="","Enter avg of data points",IF(F25="","Enter SD",F25/F24)),IF(F23="Y","N/A","Enter Y/N in Row 23"))</f>
        <v>N/A</v>
      </c>
    </row>
    <row r="27" spans="1:6" ht="12.75">
      <c r="A27" s="7" t="s">
        <v>31</v>
      </c>
      <c r="B27" s="31">
        <f>IF(B23="Y",0.6,B26)</f>
        <v>0.6</v>
      </c>
      <c r="C27" s="31">
        <f>IF(C23="Y",0.6,C26)</f>
        <v>0.6</v>
      </c>
      <c r="D27" s="31">
        <f>IF(D23="Y",0.6,D26)</f>
        <v>0.6</v>
      </c>
      <c r="E27" s="31">
        <f>IF(E23="Y",0.6,E26)</f>
        <v>0.6</v>
      </c>
      <c r="F27" s="31">
        <f>IF(F23="Y",0.6,F26)</f>
        <v>0.6</v>
      </c>
    </row>
    <row r="28" spans="1:6" ht="12.75">
      <c r="A28" s="7"/>
      <c r="B28" s="24"/>
      <c r="C28" s="24"/>
      <c r="D28" s="24"/>
      <c r="E28" s="24"/>
      <c r="F28" s="24"/>
    </row>
    <row r="29" spans="1:6" ht="12.75">
      <c r="A29" s="32" t="s">
        <v>32</v>
      </c>
      <c r="B29" s="30">
        <f>IF(B9="Y",IF(ISTEXT(B27),"",EXP(0.5*LN((B27^2)+1)-2.326*(LN((B27^2)+1))^0.5)),"")</f>
        <v>0.32108321379047927</v>
      </c>
      <c r="C29" s="30">
        <f>IF(C9="Y",IF(ISTEXT(C27),"",EXP(0.5*LN((C27^2)+1)-2.326*(LN((C27^2)+1))^0.5)),"")</f>
        <v>0.32108321379047927</v>
      </c>
      <c r="D29" s="31">
        <f>IF(D9="Y",IF(ISTEXT(D27),"",EXP(0.5*LN((D27^2)+1)-2.326*(LN((D27^2)+1))^0.5)),"")</f>
        <v>0.32108321379047927</v>
      </c>
      <c r="E29" s="31">
        <f>IF(E9="Y",IF(ISTEXT(E27),"",EXP(0.5*LN((E27^2)+1)-2.326*(LN((E27^2)+1))^0.5)),"")</f>
        <v>0.32108321379047927</v>
      </c>
      <c r="F29" s="30">
        <f>IF(F9="Y",IF(ISTEXT(F27),"",EXP(0.5*LN((F27^2)+1)-2.326*(LN((F27^2)+1))^0.5)),"")</f>
      </c>
    </row>
    <row r="30" spans="1:6" ht="12.75">
      <c r="A30" s="32" t="s">
        <v>33</v>
      </c>
      <c r="B30" s="30">
        <f>IF(B9="Y",IF(ISTEXT(B27),"",EXP(0.5*LN(((B27^2)/4)+1)-2.326*(LN(((B27^2)/4)+1))^0.5)),"")</f>
        <v>0.527433444097936</v>
      </c>
      <c r="C30" s="30">
        <f>IF(C9="Y",IF(ISTEXT(C27),"",EXP(0.5*LN(((C27^2)/4)+1)-2.326*(LN(((C27^2)/4)+1))^0.5)),"")</f>
        <v>0.527433444097936</v>
      </c>
      <c r="D30" s="31">
        <f>IF(D9="Y",IF(ISTEXT(D27),"",EXP(0.5*LN(((D27^2)/4)+1)-2.326*(LN(((D27^2)/4)+1))^0.5)),"")</f>
        <v>0.527433444097936</v>
      </c>
      <c r="E30" s="31">
        <f>IF(E9="Y",IF(ISTEXT(E27),"",EXP(0.5*LN(((E27^2)/4)+1)-2.326*(LN(((E27^2)/4)+1))^0.5)),"")</f>
        <v>0.527433444097936</v>
      </c>
      <c r="F30" s="30">
        <f>IF(F9="Y",IF(ISTEXT(F27),"",EXP(0.5*LN(((F27^2)/4)+1)-2.326*(LN(((F27^2)/4)+1))^0.5)),"")</f>
      </c>
    </row>
    <row r="31" spans="1:6" ht="12.75">
      <c r="A31" s="7" t="s">
        <v>34</v>
      </c>
      <c r="B31" s="30">
        <f>IF(B9="Y",IF(ISTEXT(B19),"",IF(B29="","",B19*B29)),"")</f>
        <v>34.91779949971462</v>
      </c>
      <c r="C31" s="30">
        <f>IF(C9="Y",IF(ISTEXT(C19),"",IF(C29="","",C19*C29)),"")</f>
        <v>27.08336908322693</v>
      </c>
      <c r="D31" s="31">
        <f>IF(D9="Y",IF(ISTEXT(D19),"",IF(D29="","",D19*D29)),"")</f>
        <v>2.0549325682590673</v>
      </c>
      <c r="E31" s="31">
        <f>IF(E9="Y",IF(ISTEXT(E19),"",IF(E29="","",E19*E29)),"")</f>
        <v>29.02592252665933</v>
      </c>
      <c r="F31" s="30">
        <f>IF(F9="Y",IF(ISTEXT(F19),"",IF(F29="","",F19*F29)),"")</f>
      </c>
    </row>
    <row r="32" spans="1:6" ht="12.75">
      <c r="A32" s="7" t="s">
        <v>35</v>
      </c>
      <c r="B32" s="30">
        <f>IF(B9="Y",IF(ISTEXT(B20),"",IF(B30="","",B20*B30)),"")</f>
        <v>41.1661803118439</v>
      </c>
      <c r="C32" s="30">
        <f>IF(C9="Y",IF(ISTEXT(C20),"",IF(C30="","",C20*C30)),"")</f>
        <v>31.144944873983118</v>
      </c>
      <c r="D32" s="31">
        <f>IF(D9="Y",IF(ISTEXT(D20),"",IF(D30="","",D20*D30)),"")</f>
        <v>3.3755740422267904</v>
      </c>
      <c r="E32" s="31">
        <f>IF(E9="Y",IF(ISTEXT(E20),"",IF(E30="","",E20*E30)),"")</f>
        <v>13.396809480087574</v>
      </c>
      <c r="F32" s="30">
        <f>IF(F9="Y",IF(ISTEXT(F20),"",IF(F30="","",F20*F30)),"")</f>
      </c>
    </row>
    <row r="33" spans="1:6" ht="12.75">
      <c r="A33" s="7" t="s">
        <v>36</v>
      </c>
      <c r="B33" s="30">
        <f>IF(B9="Y",MIN(B31:B32),"")</f>
        <v>34.91779949971462</v>
      </c>
      <c r="C33" s="30">
        <f>IF(C9="Y",MIN(C31:C32),"")</f>
        <v>27.08336908322693</v>
      </c>
      <c r="D33" s="31">
        <f>IF(D9="Y",MIN(D31:D32),"")</f>
        <v>2.0549325682590673</v>
      </c>
      <c r="E33" s="31">
        <f>IF(E9="Y",MIN(E31:E32),"")</f>
        <v>13.396809480087574</v>
      </c>
      <c r="F33" s="30">
        <f>IF(F9="Y",MIN(F31:F32),"")</f>
      </c>
    </row>
    <row r="34" spans="1:6" ht="12.75">
      <c r="A34" s="7"/>
      <c r="B34" s="30"/>
      <c r="C34" s="30"/>
      <c r="D34" s="31"/>
      <c r="E34" s="31"/>
      <c r="F34" s="30"/>
    </row>
    <row r="35" spans="1:6" ht="12.75">
      <c r="A35" s="7" t="s">
        <v>37</v>
      </c>
      <c r="B35" s="30">
        <f>IF(ISTEXT(B27),"",EXP(1.645*(LN(((B27^2)/B8)+1))^0.5-0.5*LN(((B27^2)/B8)+1)))</f>
        <v>1.5524246137530893</v>
      </c>
      <c r="C35" s="30">
        <f>IF(ISTEXT(C27),"",EXP(1.645*(LN(((C27^2)/C8)+1))^0.5-0.5*LN(((C27^2)/C8)+1)))</f>
        <v>1.5524246137530893</v>
      </c>
      <c r="D35" s="31">
        <f>IF(ISTEXT(D27),"",EXP(1.645*(LN(((D27^2)/D8)+1))^0.5-0.5*LN(((D27^2)/D8)+1)))</f>
        <v>1.5524246137530893</v>
      </c>
      <c r="E35" s="31">
        <f>IF(ISTEXT(E27),"",EXP(1.645*(LN(((E27^2)/E8)+1))^0.5-0.5*LN(((E27^2)/E8)+1)))</f>
        <v>1.5524246137530893</v>
      </c>
      <c r="F35" s="30">
        <f>IF(ISTEXT(F27),"",EXP(1.645*(LN(((F27^2)/F8)+1))^0.5-0.5*LN(((F27^2)/F8)+1)))</f>
        <v>1.5524246137530893</v>
      </c>
    </row>
    <row r="36" spans="1:6" ht="12.75">
      <c r="A36" s="7" t="s">
        <v>38</v>
      </c>
      <c r="B36" s="30">
        <f>IF(ISTEXT(B27),"",EXP(2.326*(LN((B27^2)+1))^0.5-0.5*LN((B27^2)+1)))</f>
        <v>3.1144574273899703</v>
      </c>
      <c r="C36" s="30">
        <f>IF(ISTEXT(C27),"",EXP(2.326*(LN((C27^2)+1))^0.5-0.5*LN((C27^2)+1)))</f>
        <v>3.1144574273899703</v>
      </c>
      <c r="D36" s="31">
        <f>IF(ISTEXT(D27),"",EXP(2.326*(LN((D27^2)+1))^0.5-0.5*LN((D27^2)+1)))</f>
        <v>3.1144574273899703</v>
      </c>
      <c r="E36" s="31">
        <f>IF(ISTEXT(E27),"",EXP(2.326*(LN((E27^2)+1))^0.5-0.5*LN((E27^2)+1)))</f>
        <v>3.1144574273899703</v>
      </c>
      <c r="F36" s="30">
        <f>IF(ISTEXT(F27),"",EXP(2.326*(LN((F27^2)+1))^0.5-0.5*LN((F27^2)+1)))</f>
        <v>3.1144574273899703</v>
      </c>
    </row>
    <row r="37" spans="1:6" ht="12.75">
      <c r="A37" s="7" t="s">
        <v>39</v>
      </c>
      <c r="B37" s="30">
        <f>IF(B9="Y",IF(B33="","",IF(B35="","",B33*B35)),"")</f>
        <v>54.20725140145228</v>
      </c>
      <c r="C37" s="30">
        <f>IF(C9="Y",IF(C33="","",IF(C35="","",C33*C35)),"")</f>
        <v>42.044888788160925</v>
      </c>
      <c r="D37" s="31">
        <f>IF(D9="Y",IF(D33="","",IF(D35="","",D33*D35)),"")</f>
        <v>3.1901278985682264</v>
      </c>
      <c r="E37" s="31">
        <f>IF(E9="Y",IF(E33="","",IF(E35="","",E33*E35)),"")</f>
        <v>20.797536782648677</v>
      </c>
      <c r="F37" s="30">
        <f>IF(F9="Y",IF(F33="","",IF(F35="","",F33*F35)),"")</f>
      </c>
    </row>
    <row r="38" spans="1:6" ht="12.75">
      <c r="A38" s="7" t="s">
        <v>40</v>
      </c>
      <c r="B38" s="30">
        <f>IF(B9="Y",IF(B33="","",IF(B36="","",B33*B36)),"")</f>
        <v>108.74999999999999</v>
      </c>
      <c r="C38" s="30">
        <f>IF(C9="Y",IF(C33="","",IF(C36="","",C33*C36)),"")</f>
        <v>84.35000000000001</v>
      </c>
      <c r="D38" s="31">
        <f>IF(D9="Y",IF(D33="","",IF(D36="","",D33*D36)),"")</f>
        <v>6.3999999999999995</v>
      </c>
      <c r="E38" s="31">
        <f>IF(E9="Y",IF(E33="","",IF(E36="","",E33*E36)),"")</f>
        <v>41.72379278858711</v>
      </c>
      <c r="F38" s="30">
        <f>IF(F9="Y",IF(F33="","",IF(F36="","",F33*F36)),"")</f>
      </c>
    </row>
    <row r="39" spans="1:6" ht="12.75">
      <c r="A39" s="33"/>
      <c r="B39" s="30"/>
      <c r="C39" s="30"/>
      <c r="D39" s="31"/>
      <c r="E39" s="31"/>
      <c r="F39" s="30"/>
    </row>
    <row r="40" spans="1:6" ht="12.75">
      <c r="A40" s="34" t="s">
        <v>41</v>
      </c>
      <c r="B40" s="30">
        <f>IF(B36="","",IF(B35="","",B36/B35))</f>
        <v>2.006189157140818</v>
      </c>
      <c r="C40" s="30">
        <f>IF(C36="","",IF(C35="","",C36/C35))</f>
        <v>2.006189157140818</v>
      </c>
      <c r="D40" s="31">
        <f>IF(D36="","",IF(D35="","",D36/D35))</f>
        <v>2.006189157140818</v>
      </c>
      <c r="E40" s="31">
        <f>IF(E36="","",IF(E35="","",E36/E35))</f>
        <v>2.006189157140818</v>
      </c>
      <c r="F40" s="30">
        <f>IF(F36="","",IF(F35="","",F36/F35))</f>
        <v>2.006189157140818</v>
      </c>
    </row>
    <row r="41" spans="1:6" ht="12.75">
      <c r="A41" s="7" t="s">
        <v>42</v>
      </c>
      <c r="B41" s="35">
        <f>B21</f>
      </c>
      <c r="C41" s="35">
        <f>C21</f>
      </c>
      <c r="D41" s="25">
        <f>D21</f>
        <v>2199996.4000000004</v>
      </c>
      <c r="E41" s="25">
        <f>E21</f>
        <v>2199996.4000000004</v>
      </c>
      <c r="F41" s="36">
        <f>F21</f>
        <v>1.4E-08</v>
      </c>
    </row>
    <row r="42" spans="1:6" ht="12.75">
      <c r="A42" s="7" t="s">
        <v>43</v>
      </c>
      <c r="B42" s="35">
        <f>IF(B41="","",B41*B40)</f>
      </c>
      <c r="C42" s="35">
        <f>IF(C41="","",C41*C40)</f>
      </c>
      <c r="D42" s="25">
        <f>IF(D41="","",D41*D40)</f>
        <v>4413608.923428835</v>
      </c>
      <c r="E42" s="25">
        <f>IF(E41="","",E41*E40)</f>
        <v>4413608.923428835</v>
      </c>
      <c r="F42" s="36">
        <f>IF(F41="","",F41*F40)</f>
        <v>2.8086648199971455E-08</v>
      </c>
    </row>
    <row r="43" spans="1:6" ht="12.75">
      <c r="A43" s="7"/>
      <c r="B43" s="22"/>
      <c r="C43" s="22"/>
      <c r="D43" s="24"/>
      <c r="E43" s="24"/>
      <c r="F43" s="22"/>
    </row>
    <row r="44" spans="1:6" ht="12.75">
      <c r="A44" s="7" t="s">
        <v>44</v>
      </c>
      <c r="B44" s="30">
        <f>IF(B9="Y",IF(B10="Y",MIN(B37,B41),IF(B10="N",B37,"check Y/N input for HH criteria")),IF(B9="N",IF(B10="Y",B41,IF(B10="N","No Aq/HH criteria","Check Y/N input for HH criteria")),"Check Y/N input for Aq/HH criteria"))</f>
        <v>54.20725140145228</v>
      </c>
      <c r="C44" s="30">
        <f>IF(C9="Y",IF(C10="Y",MIN(C37,C41),IF(C10="N",C37,"check Y/N input for HH criteria")),IF(C9="N",IF(C10="Y",C41,IF(C10="N","No Aq/HH criteria","Check Y/N input for HH criteria")),"Check Y/N input for Aq/HH criteria"))</f>
        <v>42.044888788160925</v>
      </c>
      <c r="D44" s="31">
        <f>IF(D9="Y",IF(D10="Y",MIN(D37,D41),IF(D10="N",D37,"check Y/N input for HH criteria")),IF(D9="N",IF(D10="Y",D41,IF(D10="N","No Aq/HH criteria","Check Y/N input for HH criteria")),"Check Y/N input for Aq/HH criteria"))</f>
        <v>3.1901278985682264</v>
      </c>
      <c r="E44" s="31">
        <f>IF(E9="Y",IF(E10="Y",MIN(E37,E41),IF(E10="N",E37,"check Y/N input for HH criteria")),IF(E9="N",IF(E10="Y",E41,IF(E10="N","No Aq/HH criteria","Check Y/N input for HH criteria")),"Check Y/N input for Aq/HH criteria"))</f>
        <v>20.797536782648677</v>
      </c>
      <c r="F44" s="36">
        <f>IF(F9="Y",IF(F10="Y",MIN(F37,F41),IF(F10="N",F37,"check Y/N input for HH criteria")),IF(F9="N",IF(F10="Y",F41,IF(F10="N","No Aq/HH criteria","Check Y/N input for HH criteria")),"Check Y/N input for Aq/HH criteria"))</f>
        <v>1.4E-08</v>
      </c>
    </row>
    <row r="45" spans="1:6" ht="12.75">
      <c r="A45" s="37" t="s">
        <v>45</v>
      </c>
      <c r="B45" s="30">
        <f>IF(B9="Y",IF(B10="Y",MIN(B38,B42),IF(B10="N",B38,"check Y/N input for HH criteria")),IF(B9="N",IF(B10="Y",B42,IF(B10="N","No Aq/HH criteria","Check Y/N input for HH criteria")),"Check Y/N input for Aq/HH criteria"))</f>
        <v>108.74999999999999</v>
      </c>
      <c r="C45" s="30">
        <f>IF(C9="Y",IF(C10="Y",MIN(C38,C42),IF(C10="N",C38,"check Y/N input for HH criteria")),IF(C9="N",IF(C10="Y",C42,IF(C10="N","No Aq/HH criteria","Check Y/N input for HH criteria")),"Check Y/N input for Aq/HH criteria"))</f>
        <v>84.35000000000001</v>
      </c>
      <c r="D45" s="31">
        <f>IF(D9="Y",IF(D10="Y",MIN(D38,D42),IF(D10="N",D38,"check Y/N input for HH criteria")),IF(D9="N",IF(D10="Y",D42,IF(D10="N","No Aq/HH criteria","Check Y/N input for HH criteria")),"Check Y/N input for Aq/HH criteria"))</f>
        <v>6.3999999999999995</v>
      </c>
      <c r="E45" s="31">
        <f>IF(E9="Y",IF(E10="Y",MIN(E38,E42),IF(E10="N",E38,"check Y/N input for HH criteria")),IF(E9="N",IF(E10="Y",E42,IF(E10="N","No Aq/HH criteria","Check Y/N input for HH criteria")),"Check Y/N input for Aq/HH criteria"))</f>
        <v>41.72379278858711</v>
      </c>
      <c r="F45" s="36">
        <f>IF(F9="Y",IF(F10="Y",MIN(F38,F42),IF(F10="N",F38,"check Y/N input for HH criteria")),IF(F9="N",IF(F10="Y",F42,IF(F10="N","No Aq/HH criteria","Check Y/N input for HH criteria")),"Check Y/N input for Aq/HH criteria"))</f>
        <v>2.8086648199971455E-08</v>
      </c>
    </row>
    <row r="46" spans="1:6" ht="12.75">
      <c r="A46" s="37" t="s">
        <v>46</v>
      </c>
      <c r="B46" s="13" t="s">
        <v>47</v>
      </c>
      <c r="C46" s="13" t="s">
        <v>47</v>
      </c>
      <c r="D46" s="14" t="s">
        <v>47</v>
      </c>
      <c r="E46" s="14" t="s">
        <v>47</v>
      </c>
      <c r="F46" s="13" t="s">
        <v>47</v>
      </c>
    </row>
    <row r="47" spans="1:6" ht="12.75">
      <c r="A47" s="37" t="s">
        <v>48</v>
      </c>
      <c r="B47" s="13">
        <v>17</v>
      </c>
      <c r="C47" s="13">
        <v>17</v>
      </c>
      <c r="D47" s="14">
        <v>10</v>
      </c>
      <c r="E47" s="14">
        <v>10</v>
      </c>
      <c r="F47" s="13" t="s">
        <v>47</v>
      </c>
    </row>
    <row r="48" spans="1:6" ht="12.75">
      <c r="A48" s="37"/>
      <c r="B48" s="38"/>
      <c r="C48" s="38"/>
      <c r="D48" s="39"/>
      <c r="E48" s="39"/>
      <c r="F48" s="38"/>
    </row>
    <row r="49" spans="1:6" ht="12.75">
      <c r="A49" s="37" t="s">
        <v>49</v>
      </c>
      <c r="B49" s="40">
        <f aca="true" t="shared" si="0" ref="B49:E50">B44</f>
        <v>54.20725140145228</v>
      </c>
      <c r="C49" s="40">
        <f>C44</f>
        <v>42.044888788160925</v>
      </c>
      <c r="D49" s="40">
        <f t="shared" si="0"/>
        <v>3.1901278985682264</v>
      </c>
      <c r="E49" s="40">
        <f t="shared" si="0"/>
        <v>20.797536782648677</v>
      </c>
      <c r="F49" s="36">
        <f>MIN(F44,F46)</f>
        <v>1.4E-08</v>
      </c>
    </row>
    <row r="50" spans="1:6" ht="12.75">
      <c r="A50" s="37" t="s">
        <v>50</v>
      </c>
      <c r="B50" s="40">
        <f t="shared" si="0"/>
        <v>108.74999999999999</v>
      </c>
      <c r="C50" s="40">
        <f>C45</f>
        <v>84.35000000000001</v>
      </c>
      <c r="D50" s="40">
        <f t="shared" si="0"/>
        <v>6.3999999999999995</v>
      </c>
      <c r="E50" s="40">
        <f t="shared" si="0"/>
        <v>41.72379278858711</v>
      </c>
      <c r="F50" s="36">
        <f>MIN(F45,F47)</f>
        <v>2.8086648199971455E-08</v>
      </c>
    </row>
    <row r="51" spans="1:6" ht="12.75">
      <c r="A51" s="37" t="s">
        <v>51</v>
      </c>
      <c r="B51" s="41">
        <v>30</v>
      </c>
      <c r="C51" s="41">
        <v>30</v>
      </c>
      <c r="D51" s="42">
        <v>7</v>
      </c>
      <c r="E51" s="42">
        <v>7</v>
      </c>
      <c r="F51" s="43">
        <v>2.05E-09</v>
      </c>
    </row>
    <row r="52" spans="1:6" ht="12.75">
      <c r="A52" s="37" t="s">
        <v>55</v>
      </c>
      <c r="B52" s="13"/>
      <c r="C52" s="13"/>
      <c r="D52" s="44">
        <v>10</v>
      </c>
      <c r="E52" s="44">
        <v>10</v>
      </c>
      <c r="F52" s="13" t="s">
        <v>47</v>
      </c>
    </row>
    <row r="53" spans="1:6" ht="12.75">
      <c r="A53" s="45"/>
      <c r="B53" s="45"/>
      <c r="C53" s="45"/>
      <c r="D53" s="46"/>
      <c r="E53" s="46"/>
      <c r="F53" s="45"/>
    </row>
    <row r="54" ht="12.75">
      <c r="A54" s="47"/>
    </row>
    <row r="57" ht="12.75">
      <c r="A57" s="49" t="s">
        <v>52</v>
      </c>
    </row>
  </sheetData>
  <printOptions horizontalCentered="1"/>
  <pageMargins left="0.75" right="0.75" top="1" bottom="1" header="0.5" footer="0.5"/>
  <pageSetup fitToHeight="1" fitToWidth="1" horizontalDpi="600" verticalDpi="600" orientation="portrait" scale="91" r:id="rId3"/>
  <headerFooter alignWithMargins="0">
    <oddHeader>&amp;CAttachment 1
Effluent Limitation Calcuations
(Per Section 1.4 of the SIP)
Paradise Cove Treatment Plant
</oddHeader>
    <oddFooter>&amp;C&amp;P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2006-04-14T18:36:49Z</dcterms:created>
  <dcterms:modified xsi:type="dcterms:W3CDTF">2006-06-07T16:40:21Z</dcterms:modified>
  <cp:category/>
  <cp:version/>
  <cp:contentType/>
  <cp:contentStatus/>
</cp:coreProperties>
</file>