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Chris Shutes\Documents\CVP and SWP\Drought operations 2021\"/>
    </mc:Choice>
  </mc:AlternateContent>
  <xr:revisionPtr revIDLastSave="0" documentId="13_ncr:1_{E9D419BC-55EC-4159-9DEC-8177723D9EC1}" xr6:coauthVersionLast="46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Model" sheetId="1" r:id="rId1"/>
  </sheets>
  <calcPr calcId="191028"/>
</workbook>
</file>

<file path=xl/calcChain.xml><?xml version="1.0" encoding="utf-8"?>
<calcChain xmlns="http://schemas.openxmlformats.org/spreadsheetml/2006/main">
  <c r="C6" i="1" l="1"/>
  <c r="D6" i="1" s="1"/>
  <c r="G61" i="1"/>
  <c r="H61" i="1"/>
  <c r="G60" i="1"/>
  <c r="F61" i="1"/>
  <c r="F60" i="1"/>
  <c r="D61" i="1"/>
  <c r="E61" i="1"/>
  <c r="H60" i="1"/>
  <c r="D60" i="1"/>
  <c r="E60" i="1"/>
  <c r="H24" i="1"/>
  <c r="H25" i="1" s="1"/>
  <c r="F24" i="1"/>
  <c r="F25" i="1" s="1"/>
  <c r="E24" i="1"/>
  <c r="E25" i="1" s="1"/>
  <c r="D24" i="1"/>
  <c r="D25" i="1" s="1"/>
  <c r="G24" i="1"/>
  <c r="G25" i="1" s="1"/>
  <c r="C61" i="1"/>
  <c r="H31" i="1"/>
  <c r="H33" i="1" s="1"/>
  <c r="H32" i="1"/>
  <c r="G31" i="1"/>
  <c r="G33" i="1" s="1"/>
  <c r="G32" i="1"/>
  <c r="F31" i="1"/>
  <c r="F33" i="1" s="1"/>
  <c r="F32" i="1"/>
  <c r="E31" i="1"/>
  <c r="E33" i="1" s="1"/>
  <c r="E32" i="1"/>
  <c r="E34" i="1" s="1"/>
  <c r="D31" i="1"/>
  <c r="D33" i="1" s="1"/>
  <c r="D32" i="1"/>
  <c r="D35" i="1" s="1"/>
  <c r="C33" i="1"/>
  <c r="C34" i="1"/>
  <c r="C60" i="1"/>
  <c r="C25" i="1"/>
  <c r="I33" i="1" l="1"/>
  <c r="G36" i="1"/>
  <c r="G37" i="1" s="1"/>
  <c r="G35" i="1"/>
  <c r="I61" i="1"/>
  <c r="H36" i="1"/>
  <c r="H37" i="1" s="1"/>
  <c r="E36" i="1"/>
  <c r="E37" i="1" s="1"/>
  <c r="D36" i="1"/>
  <c r="D37" i="1" s="1"/>
  <c r="F36" i="1"/>
  <c r="F37" i="1" s="1"/>
  <c r="E35" i="1"/>
  <c r="C36" i="1"/>
  <c r="C37" i="1" s="1"/>
  <c r="C7" i="1" s="1"/>
  <c r="F34" i="1"/>
  <c r="H34" i="1"/>
  <c r="G10" i="1"/>
  <c r="G34" i="1"/>
  <c r="I60" i="1"/>
  <c r="E6" i="1"/>
  <c r="E10" i="1"/>
  <c r="I25" i="1"/>
  <c r="D10" i="1"/>
  <c r="H10" i="1"/>
  <c r="H35" i="1"/>
  <c r="F10" i="1"/>
  <c r="F35" i="1"/>
  <c r="D34" i="1"/>
  <c r="D7" i="1" l="1"/>
  <c r="I37" i="1"/>
  <c r="I34" i="1"/>
  <c r="E7" i="1"/>
  <c r="F6" i="1"/>
  <c r="G6" i="1" l="1"/>
  <c r="F7" i="1"/>
  <c r="H6" i="1" l="1"/>
  <c r="H7" i="1" s="1"/>
  <c r="G7" i="1"/>
</calcChain>
</file>

<file path=xl/sharedStrings.xml><?xml version="1.0" encoding="utf-8"?>
<sst xmlns="http://schemas.openxmlformats.org/spreadsheetml/2006/main" count="86" uniqueCount="57">
  <si>
    <t>Storages</t>
  </si>
  <si>
    <t>May</t>
  </si>
  <si>
    <t>Apr</t>
  </si>
  <si>
    <t>Jun</t>
  </si>
  <si>
    <t>Jul</t>
  </si>
  <si>
    <t>Aug</t>
  </si>
  <si>
    <t>Sep</t>
  </si>
  <si>
    <t>Oct</t>
  </si>
  <si>
    <t>TOTAL</t>
  </si>
  <si>
    <t>Monthly Dam Releases</t>
  </si>
  <si>
    <t xml:space="preserve"> </t>
  </si>
  <si>
    <t>CSPA Proposed</t>
  </si>
  <si>
    <t>BOR 5/5 Shasta Storage EOM</t>
  </si>
  <si>
    <t>BOR 5/5 Trinity Storage EOM</t>
  </si>
  <si>
    <t>Spring Creek PH ave daily cfs</t>
  </si>
  <si>
    <t xml:space="preserve">BOR 5/5 TMP </t>
  </si>
  <si>
    <t>BOR 5/5 TMP</t>
  </si>
  <si>
    <t xml:space="preserve">Clear Creek Release ave daily cfs </t>
  </si>
  <si>
    <t>Trinity River Release ave daily cfs</t>
  </si>
  <si>
    <t>BOR 5/5 TMP Shasta Release cfs</t>
  </si>
  <si>
    <t>CSPA Proposed  Shasta Release cfs</t>
  </si>
  <si>
    <t>CSPA Proposed Sac. R. @ Clear Creek cfs</t>
  </si>
  <si>
    <t xml:space="preserve">  </t>
  </si>
  <si>
    <t>Shasta/Trinity End of the Month         Storage (TAF)</t>
  </si>
  <si>
    <t>BOR 5/5 TMP Shasta release monthly acre-feet</t>
  </si>
  <si>
    <t>CSPA Shasta savings cfs</t>
  </si>
  <si>
    <t>BOR 5/5 TMP Shasta Storage EOM</t>
  </si>
  <si>
    <t xml:space="preserve">CSPA Proposed Shasta Storage EOM </t>
  </si>
  <si>
    <t>BOR 5/5 TMP Trinity Storage EOM</t>
  </si>
  <si>
    <t>CSPA Proposed Trinity Storage EOM</t>
  </si>
  <si>
    <t>Proposed End of Month Storage (TAF)</t>
  </si>
  <si>
    <t>CSPA TMP Shasta release monthly acre-feet</t>
  </si>
  <si>
    <t>BOR 5/5 TMP with April-May adjustments carried through October</t>
  </si>
  <si>
    <t>Shasta Dam Release ave daily cfs/ monthly total acre-feet</t>
  </si>
  <si>
    <t>Charts</t>
  </si>
  <si>
    <t>BOR</t>
  </si>
  <si>
    <t>CSPA</t>
  </si>
  <si>
    <t>Notes:</t>
  </si>
  <si>
    <t xml:space="preserve">Rows 14 and 15, Column C: BOR power experiment diverged from projected releases through 5/20. 5/21-31 releases unknown. </t>
  </si>
  <si>
    <t>Trinity Savings cfs</t>
  </si>
  <si>
    <t xml:space="preserve">Row 24: Trinity savings is the calculated estimate of reduced flow from Whiskeytown to the Sacramento River via Spring Creek  </t>
  </si>
  <si>
    <t xml:space="preserve">Rows 28 and 29, 31 and 32, Column C: Discrepancy in CDEC reporting between Shasta release and Keswick release in May has </t>
  </si>
  <si>
    <t>unclear origin. Spring Creek Powerhouse releases in May averaged less than 60 cfs as of 5/22 and do not account for difference.</t>
  </si>
  <si>
    <t>Powerhouse or Clear Creek release. Reduced export to Sacramento is available for Trinity Lake storage or release to Trinity River.</t>
  </si>
  <si>
    <t>CSPA Temperature Management Plan Spreadsheet 5/23/21</t>
  </si>
  <si>
    <t>Rows 6 and 7 reduce BOR 5/5 TMP end of May storage by 199 TAF and apply equally to the BOR 5/5 TMP and the CSPA TMP.</t>
  </si>
  <si>
    <t xml:space="preserve">Rows 6 and 7, Column C: At current trajactory, end of May Shasta storage in BOR 5/5 TMP (Cell C5) is 199 TAF higher than actual.  </t>
  </si>
  <si>
    <t>Keswick Dam Release ave daily cfs</t>
  </si>
  <si>
    <t>CSPA Trinity savings acre-feet</t>
  </si>
  <si>
    <t>CSPA Shasta savings acre-feet</t>
  </si>
  <si>
    <t>BOR 5/5 TMP Deliveries acre-feet</t>
  </si>
  <si>
    <t>CSPA Proposed Deliveries acre-feet</t>
  </si>
  <si>
    <t xml:space="preserve">Row 29: CSPA TMP Shasta release assumes 25% blend of non-cold-water-pool volume; end of April Shasta cold water pool was </t>
  </si>
  <si>
    <t>1.3 MAF.</t>
  </si>
  <si>
    <t>Rows 60 and 61: Total deliveries (below) do not account for April deliveries, channel losses, or unauthorized diversions.</t>
  </si>
  <si>
    <r>
      <t xml:space="preserve">Numbers </t>
    </r>
    <r>
      <rPr>
        <sz val="11"/>
        <color rgb="FFFF0000"/>
        <rFont val="Arial"/>
        <family val="2"/>
      </rPr>
      <t xml:space="preserve">in red </t>
    </r>
    <r>
      <rPr>
        <sz val="11"/>
        <color theme="1"/>
        <rFont val="Arial"/>
        <family val="18"/>
      </rPr>
      <t xml:space="preserve">are actual April or May values through May 23, extrapolated to May 31. BOR 5/5 TMP did not propose these releases. </t>
    </r>
  </si>
  <si>
    <r>
      <rPr>
        <sz val="11"/>
        <color rgb="FF0070C0"/>
        <rFont val="Arial"/>
        <family val="2"/>
      </rPr>
      <t>Numbers in blue</t>
    </r>
    <r>
      <rPr>
        <sz val="11"/>
        <color theme="1"/>
        <rFont val="Arial"/>
        <family val="18"/>
      </rPr>
      <t xml:space="preserve"> reflect adjustments made to the BOR 5/5 TMP in order to reflect actual releases.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</si>
</sst>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18"/>
    </font>
    <font>
      <sz val="11"/>
      <color theme="1"/>
      <name val="Arial"/>
      <family val="18"/>
    </font>
    <font>
      <b/>
      <sz val="11"/>
      <color rgb="FF000000"/>
      <name val="Arial"/>
      <family val="18"/>
    </font>
    <font>
      <b/>
      <sz val="11"/>
      <color rgb="FFFF0000"/>
      <name val="Arial"/>
      <family val="18"/>
    </font>
    <font>
      <b/>
      <sz val="11"/>
      <color theme="1"/>
      <name val="Arial"/>
      <family val="18"/>
    </font>
    <font>
      <sz val="11"/>
      <color rgb="FFFF0000"/>
      <name val="Arial"/>
      <family val="18"/>
    </font>
    <font>
      <b/>
      <sz val="11"/>
      <color rgb="FF4472C4"/>
      <name val="Arial"/>
      <family val="18"/>
    </font>
    <font>
      <sz val="6"/>
      <name val="Yu Gothic"/>
      <family val="2"/>
      <charset val="128"/>
    </font>
    <font>
      <b/>
      <sz val="11"/>
      <color rgb="FF4472C4"/>
      <name val="Arial"/>
      <family val="2"/>
    </font>
    <font>
      <b/>
      <sz val="11"/>
      <color theme="1"/>
      <name val="Arial"/>
      <family val="2"/>
    </font>
    <font>
      <sz val="11"/>
      <name val="Arial"/>
      <family val="18"/>
    </font>
    <font>
      <sz val="11"/>
      <color rgb="FF000000"/>
      <name val="Arial"/>
      <family val="2"/>
    </font>
    <font>
      <b/>
      <sz val="11"/>
      <name val="Arial"/>
      <family val="18"/>
    </font>
    <font>
      <b/>
      <sz val="11"/>
      <color theme="4" tint="-0.249977111117893"/>
      <name val="Arial"/>
      <family val="18"/>
    </font>
    <font>
      <b/>
      <sz val="14"/>
      <color rgb="FF000000"/>
      <name val="Arial"/>
      <family val="18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sz val="11"/>
      <color rgb="FF0070C0"/>
      <name val="Arial"/>
      <family val="2"/>
    </font>
    <font>
      <b/>
      <sz val="11"/>
      <color rgb="FF0070C0"/>
      <name val="Arial"/>
      <family val="18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/>
    <xf numFmtId="0" fontId="6" fillId="0" borderId="0" xfId="0" applyFont="1" applyBorder="1" applyAlignment="1">
      <alignment wrapText="1"/>
    </xf>
    <xf numFmtId="1" fontId="2" fillId="0" borderId="0" xfId="0" applyNumberFormat="1" applyFont="1"/>
    <xf numFmtId="1" fontId="5" fillId="0" borderId="0" xfId="0" applyNumberFormat="1" applyFont="1"/>
    <xf numFmtId="0" fontId="4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1" fontId="4" fillId="0" borderId="0" xfId="0" applyNumberFormat="1" applyFont="1" applyFill="1" applyBorder="1" applyAlignment="1">
      <alignment wrapText="1"/>
    </xf>
    <xf numFmtId="1" fontId="7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" fontId="3" fillId="0" borderId="0" xfId="0" applyNumberFormat="1" applyFont="1" applyFill="1" applyBorder="1" applyAlignment="1">
      <alignment wrapText="1"/>
    </xf>
    <xf numFmtId="0" fontId="2" fillId="0" borderId="0" xfId="0" applyFont="1" applyFill="1"/>
    <xf numFmtId="0" fontId="4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2" borderId="0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2" fillId="2" borderId="0" xfId="0" applyFont="1" applyFill="1"/>
    <xf numFmtId="0" fontId="3" fillId="2" borderId="0" xfId="0" applyFont="1" applyFill="1" applyBorder="1" applyAlignment="1">
      <alignment wrapText="1"/>
    </xf>
    <xf numFmtId="1" fontId="3" fillId="2" borderId="0" xfId="0" applyNumberFormat="1" applyFont="1" applyFill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right" wrapText="1"/>
    </xf>
    <xf numFmtId="1" fontId="6" fillId="0" borderId="0" xfId="0" applyNumberFormat="1" applyFont="1"/>
    <xf numFmtId="1" fontId="9" fillId="0" borderId="0" xfId="0" applyNumberFormat="1" applyFont="1" applyFill="1" applyBorder="1" applyAlignment="1">
      <alignment wrapText="1"/>
    </xf>
    <xf numFmtId="0" fontId="10" fillId="0" borderId="0" xfId="0" applyFont="1"/>
    <xf numFmtId="0" fontId="11" fillId="0" borderId="0" xfId="0" applyFont="1" applyBorder="1" applyAlignment="1">
      <alignment wrapText="1"/>
    </xf>
    <xf numFmtId="1" fontId="10" fillId="0" borderId="0" xfId="0" applyNumberFormat="1" applyFont="1"/>
    <xf numFmtId="0" fontId="10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 wrapText="1"/>
    </xf>
    <xf numFmtId="1" fontId="2" fillId="2" borderId="0" xfId="0" applyNumberFormat="1" applyFont="1" applyFill="1"/>
    <xf numFmtId="1" fontId="5" fillId="2" borderId="0" xfId="0" applyNumberFormat="1" applyFont="1" applyFill="1"/>
    <xf numFmtId="0" fontId="2" fillId="2" borderId="0" xfId="0" applyFont="1" applyFill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Fill="1"/>
    <xf numFmtId="0" fontId="12" fillId="0" borderId="0" xfId="0" applyFont="1" applyFill="1" applyBorder="1" applyAlignment="1">
      <alignment wrapText="1"/>
    </xf>
    <xf numFmtId="1" fontId="1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1" fontId="7" fillId="2" borderId="0" xfId="0" applyNumberFormat="1" applyFont="1" applyFill="1" applyBorder="1" applyAlignment="1">
      <alignment wrapText="1"/>
    </xf>
    <xf numFmtId="1" fontId="4" fillId="2" borderId="0" xfId="0" applyNumberFormat="1" applyFont="1" applyFill="1" applyBorder="1" applyAlignment="1">
      <alignment wrapText="1"/>
    </xf>
    <xf numFmtId="0" fontId="13" fillId="2" borderId="0" xfId="0" applyFont="1" applyFill="1" applyBorder="1" applyAlignment="1">
      <alignment horizontal="right" wrapText="1"/>
    </xf>
    <xf numFmtId="0" fontId="14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6" fillId="0" borderId="0" xfId="0" applyFont="1"/>
    <xf numFmtId="0" fontId="6" fillId="2" borderId="0" xfId="0" applyFont="1" applyFill="1"/>
    <xf numFmtId="0" fontId="17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Border="1" applyAlignment="1">
      <alignment wrapText="1"/>
    </xf>
    <xf numFmtId="1" fontId="10" fillId="0" borderId="0" xfId="0" applyNumberFormat="1" applyFont="1" applyBorder="1" applyAlignment="1">
      <alignment wrapText="1"/>
    </xf>
    <xf numFmtId="0" fontId="17" fillId="2" borderId="0" xfId="0" applyFont="1" applyFill="1"/>
    <xf numFmtId="0" fontId="10" fillId="2" borderId="0" xfId="0" applyFont="1" applyFill="1"/>
    <xf numFmtId="1" fontId="10" fillId="2" borderId="0" xfId="0" applyNumberFormat="1" applyFont="1" applyFill="1"/>
    <xf numFmtId="0" fontId="18" fillId="0" borderId="0" xfId="0" applyFont="1" applyBorder="1" applyAlignment="1">
      <alignment vertical="top" wrapText="1"/>
    </xf>
    <xf numFmtId="0" fontId="10" fillId="2" borderId="0" xfId="0" applyFont="1" applyFill="1" applyBorder="1" applyAlignment="1">
      <alignment horizontal="right" wrapText="1"/>
    </xf>
    <xf numFmtId="0" fontId="10" fillId="2" borderId="0" xfId="0" applyFont="1" applyFill="1" applyBorder="1" applyAlignment="1">
      <alignment wrapText="1"/>
    </xf>
    <xf numFmtId="1" fontId="10" fillId="2" borderId="0" xfId="0" applyNumberFormat="1" applyFont="1" applyFill="1" applyBorder="1" applyAlignment="1">
      <alignment wrapText="1"/>
    </xf>
    <xf numFmtId="1" fontId="5" fillId="2" borderId="0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17" fillId="2" borderId="0" xfId="0" applyFont="1" applyFill="1" applyBorder="1" applyAlignment="1">
      <alignment horizontal="right" wrapText="1"/>
    </xf>
    <xf numFmtId="1" fontId="21" fillId="0" borderId="0" xfId="0" applyNumberFormat="1" applyFont="1" applyFill="1" applyBorder="1" applyAlignment="1">
      <alignment wrapText="1"/>
    </xf>
    <xf numFmtId="0" fontId="2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Deliveries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Model!$B$60</c:f>
              <c:strCache>
                <c:ptCount val="1"/>
                <c:pt idx="0">
                  <c:v>BOR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Model!$C$59:$H$59</c:f>
              <c:strCache>
                <c:ptCount val="6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Oct</c:v>
                </c:pt>
              </c:strCache>
            </c:strRef>
          </c:cat>
          <c:val>
            <c:numRef>
              <c:f>Model!$C$60:$H$60</c:f>
              <c:numCache>
                <c:formatCode>0</c:formatCode>
                <c:ptCount val="6"/>
                <c:pt idx="0">
                  <c:v>383375.20661157026</c:v>
                </c:pt>
                <c:pt idx="1">
                  <c:v>322195.04132231406</c:v>
                </c:pt>
                <c:pt idx="2">
                  <c:v>390446.28099173552</c:v>
                </c:pt>
                <c:pt idx="3">
                  <c:v>267471.07438016532</c:v>
                </c:pt>
                <c:pt idx="4">
                  <c:v>83008.264462809922</c:v>
                </c:pt>
                <c:pt idx="5">
                  <c:v>65791.735537190078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4-8644-ABA6-BC15F2439987}"/>
            </c:ext>
          </c:extLst>
        </c:ser>
        <c:ser>
          <c:idx val="1"/>
          <c:order val="1"/>
          <c:tx>
            <c:strRef>
              <c:f>Model!$B$61</c:f>
              <c:strCache>
                <c:ptCount val="1"/>
                <c:pt idx="0">
                  <c:v>CSPA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Model!$C$59:$H$59</c:f>
              <c:strCache>
                <c:ptCount val="6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Oct</c:v>
                </c:pt>
              </c:strCache>
            </c:strRef>
          </c:cat>
          <c:val>
            <c:numRef>
              <c:f>Model!$C$61:$H$61</c:f>
              <c:numCache>
                <c:formatCode>0</c:formatCode>
                <c:ptCount val="6"/>
                <c:pt idx="0" formatCode="General">
                  <c:v>383375.20661157026</c:v>
                </c:pt>
                <c:pt idx="1">
                  <c:v>98380.165289256198</c:v>
                </c:pt>
                <c:pt idx="2">
                  <c:v>92231.404958677682</c:v>
                </c:pt>
                <c:pt idx="3">
                  <c:v>92231.404958677682</c:v>
                </c:pt>
                <c:pt idx="4">
                  <c:v>92231.404958677682</c:v>
                </c:pt>
                <c:pt idx="5">
                  <c:v>98380.165289256198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4-8644-ABA6-BC15F2439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1742464"/>
        <c:axId val="820508736"/>
      </c:barChart>
      <c:catAx>
        <c:axId val="69174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508736"/>
        <c:crosses val="autoZero"/>
        <c:auto val="1"/>
        <c:lblAlgn val="ctr"/>
        <c:lblOffset val="100"/>
        <c:noMultiLvlLbl val="0"/>
      </c:catAx>
      <c:valAx>
        <c:axId val="8205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74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EOM Storage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Model!$A$79</c:f>
              <c:strCache>
                <c:ptCount val="1"/>
                <c:pt idx="0">
                  <c:v>BOR 5/5 TMP Shasta Storage EOM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Model!$B$78:$H$78</c:f>
              <c:strCache>
                <c:ptCount val="7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</c:strCache>
            </c:strRef>
          </c:cat>
          <c:val>
            <c:numRef>
              <c:f>Model!$B$79:$H$79</c:f>
              <c:numCache>
                <c:formatCode>General</c:formatCode>
                <c:ptCount val="7"/>
                <c:pt idx="0">
                  <c:v>2290</c:v>
                </c:pt>
                <c:pt idx="1">
                  <c:v>1975</c:v>
                </c:pt>
                <c:pt idx="2">
                  <c:v>1724</c:v>
                </c:pt>
                <c:pt idx="3">
                  <c:v>1367</c:v>
                </c:pt>
                <c:pt idx="4">
                  <c:v>1104</c:v>
                </c:pt>
                <c:pt idx="5">
                  <c:v>1031</c:v>
                </c:pt>
                <c:pt idx="6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7-224B-A3F0-06B45FFB4912}"/>
            </c:ext>
          </c:extLst>
        </c:ser>
        <c:ser>
          <c:idx val="1"/>
          <c:order val="1"/>
          <c:tx>
            <c:strRef>
              <c:f>Model!$A$80</c:f>
              <c:strCache>
                <c:ptCount val="1"/>
                <c:pt idx="0">
                  <c:v>CSPA Proposed Shasta Storage EOM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Model!$B$78:$H$78</c:f>
              <c:strCache>
                <c:ptCount val="7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</c:strCache>
            </c:strRef>
          </c:cat>
          <c:val>
            <c:numRef>
              <c:f>Model!$B$80:$H$80</c:f>
              <c:numCache>
                <c:formatCode>0</c:formatCode>
                <c:ptCount val="7"/>
                <c:pt idx="1">
                  <c:v>1975</c:v>
                </c:pt>
                <c:pt idx="2">
                  <c:v>1857.8842975206612</c:v>
                </c:pt>
                <c:pt idx="3">
                  <c:v>1689.3338842975209</c:v>
                </c:pt>
                <c:pt idx="4">
                  <c:v>1515.5900826446282</c:v>
                </c:pt>
                <c:pt idx="5">
                  <c:v>1353.3338842975209</c:v>
                </c:pt>
                <c:pt idx="6">
                  <c:v>1244.119008264463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17-224B-A3F0-06B45FFB4912}"/>
            </c:ext>
          </c:extLst>
        </c:ser>
        <c:ser>
          <c:idx val="2"/>
          <c:order val="2"/>
          <c:tx>
            <c:strRef>
              <c:f>Model!$A$81</c:f>
              <c:strCache>
                <c:ptCount val="1"/>
                <c:pt idx="0">
                  <c:v>BOR 5/5 TMP Trinity Storage EOM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Model!$B$78:$H$78</c:f>
              <c:strCache>
                <c:ptCount val="7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</c:strCache>
            </c:strRef>
          </c:cat>
          <c:val>
            <c:numRef>
              <c:f>Model!$B$81:$H$81</c:f>
              <c:numCache>
                <c:formatCode>0</c:formatCode>
                <c:ptCount val="7"/>
                <c:pt idx="0" formatCode="General">
                  <c:v>1336</c:v>
                </c:pt>
                <c:pt idx="1">
                  <c:v>1256</c:v>
                </c:pt>
                <c:pt idx="2">
                  <c:v>1116</c:v>
                </c:pt>
                <c:pt idx="3">
                  <c:v>968</c:v>
                </c:pt>
                <c:pt idx="4">
                  <c:v>813</c:v>
                </c:pt>
                <c:pt idx="5">
                  <c:v>660</c:v>
                </c:pt>
                <c:pt idx="6" formatCode="General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17-224B-A3F0-06B45FFB4912}"/>
            </c:ext>
          </c:extLst>
        </c:ser>
        <c:ser>
          <c:idx val="3"/>
          <c:order val="3"/>
          <c:tx>
            <c:strRef>
              <c:f>Model!$A$82</c:f>
              <c:strCache>
                <c:ptCount val="1"/>
                <c:pt idx="0">
                  <c:v>CSPA Proposed Trinity Storage EOM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Model!$B$78:$H$78</c:f>
              <c:strCache>
                <c:ptCount val="7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</c:strCache>
            </c:strRef>
          </c:cat>
          <c:val>
            <c:numRef>
              <c:f>Model!$B$82:$H$82</c:f>
              <c:numCache>
                <c:formatCode>General</c:formatCode>
                <c:ptCount val="7"/>
                <c:pt idx="2" formatCode="0">
                  <c:v>1194.7239669421488</c:v>
                </c:pt>
                <c:pt idx="3" formatCode="0">
                  <c:v>1126.0429752066116</c:v>
                </c:pt>
                <c:pt idx="4" formatCode="0">
                  <c:v>1051.790082644628</c:v>
                </c:pt>
                <c:pt idx="5" formatCode="0">
                  <c:v>979.12066115702476</c:v>
                </c:pt>
                <c:pt idx="6" formatCode="0">
                  <c:v>945.39008264462814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17-224B-A3F0-06B45FFB491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18216432"/>
        <c:axId val="716346432"/>
      </c:lineChart>
      <c:catAx>
        <c:axId val="71821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346432"/>
        <c:crosses val="autoZero"/>
        <c:auto val="1"/>
        <c:lblAlgn val="ctr"/>
        <c:lblOffset val="100"/>
        <c:noMultiLvlLbl val="0"/>
      </c:catAx>
      <c:valAx>
        <c:axId val="7163464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821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347133</xdr:colOff>
      <xdr:row>61</xdr:row>
      <xdr:rowOff>28937</xdr:rowOff>
    </xdr:from>
    <xdr:to>
      <xdr:col>8</xdr:col>
      <xdr:colOff>279400</xdr:colOff>
      <xdr:row>75</xdr:row>
      <xdr:rowOff>67733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9400FE-FF46-EA41-8497-FF555612B3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149674</xdr:colOff>
      <xdr:row>82</xdr:row>
      <xdr:rowOff>68828</xdr:rowOff>
    </xdr:from>
    <xdr:to>
      <xdr:col>8</xdr:col>
      <xdr:colOff>338067</xdr:colOff>
      <xdr:row>98</xdr:row>
      <xdr:rowOff>48508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33FAF06-F9A4-0943-881A-6D1755058D83}"/>
            </a:ext>
            <a:ext uri="{147F2762-F138-4A5C-976F-8EAC2B608ADB}">
              <a16:predDERef xmlns:a16="http://schemas.microsoft.com/office/drawing/2014/main" pred="{2AF7108A-1A26-5B46-A5FB-C6C6C4F09E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327660</xdr:colOff>
      <xdr:row>63</xdr:row>
      <xdr:rowOff>60960</xdr:rowOff>
    </xdr:from>
    <xdr:ext cx="716991" cy="436786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93CEB35-410C-45D2-85CE-5DEA0F7B94C9}"/>
            </a:ext>
          </a:extLst>
        </xdr:cNvPr>
        <xdr:cNvSpPr txBox="1"/>
      </xdr:nvSpPr>
      <xdr:spPr>
        <a:xfrm>
          <a:off x="6530340" y="10462260"/>
          <a:ext cx="716991" cy="43678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1507983</a:t>
          </a:r>
          <a:r>
            <a:rPr lang="en-US"/>
            <a:t> </a:t>
          </a:r>
        </a:p>
        <a:p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852526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C075-6DE1-3E49-B103-10CE2B6511F1}">
  <dimension ref="A1:M82"/>
  <sheetViews>
    <sheetView tabSelected="1" topLeftCell="A19" zoomScaleNormal="100" zoomScaleSheetLayoutView="100" workbookViewId="0">
      <selection activeCell="J58" sqref="J58"/>
    </sheetView>
  </sheetViews>
  <sheetFormatPr defaultColWidth="8.5546875" defaultRowHeight="13.8" x14ac:dyDescent="0.25"/>
  <cols>
    <col min="1" max="1" width="44.21875" style="2" customWidth="1"/>
    <col min="2" max="2" width="11.44140625" style="2" customWidth="1"/>
    <col min="3" max="3" width="9.109375" style="2" bestFit="1" customWidth="1"/>
    <col min="4" max="6" width="8.5546875" style="2"/>
    <col min="7" max="7" width="9.5546875" style="2" customWidth="1"/>
    <col min="8" max="8" width="8.5546875" style="2"/>
    <col min="9" max="10" width="10.109375" style="2" customWidth="1"/>
    <col min="11" max="16384" width="8.5546875" style="2"/>
  </cols>
  <sheetData>
    <row r="1" spans="1:13" ht="70.8" customHeight="1" x14ac:dyDescent="0.25">
      <c r="A1" s="62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7.399999999999999" x14ac:dyDescent="0.3">
      <c r="A2" s="5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34.799999999999997" x14ac:dyDescent="0.3">
      <c r="A3" s="52" t="s">
        <v>23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5" customFormat="1" x14ac:dyDescent="0.25">
      <c r="A4" s="4"/>
      <c r="B4" s="29" t="s">
        <v>2</v>
      </c>
      <c r="C4" s="29" t="s">
        <v>1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7</v>
      </c>
      <c r="I4" s="3"/>
      <c r="J4" s="3"/>
      <c r="K4" s="3"/>
      <c r="L4" s="3"/>
      <c r="M4" s="3"/>
    </row>
    <row r="5" spans="1:13" x14ac:dyDescent="0.25">
      <c r="A5" s="10" t="s">
        <v>12</v>
      </c>
      <c r="B5" s="3">
        <v>2343</v>
      </c>
      <c r="C5" s="3">
        <v>2174</v>
      </c>
      <c r="D5" s="3">
        <v>1923</v>
      </c>
      <c r="E5" s="3">
        <v>1566</v>
      </c>
      <c r="F5" s="3">
        <v>1303</v>
      </c>
      <c r="G5" s="3">
        <v>1230</v>
      </c>
      <c r="H5" s="3">
        <v>1191</v>
      </c>
      <c r="I5" s="3"/>
      <c r="J5" s="3"/>
      <c r="K5" s="3"/>
      <c r="L5" s="3"/>
      <c r="M5" s="3"/>
    </row>
    <row r="6" spans="1:13" ht="27.6" x14ac:dyDescent="0.25">
      <c r="A6" s="49" t="s">
        <v>32</v>
      </c>
      <c r="B6" s="55">
        <v>2290</v>
      </c>
      <c r="C6" s="11">
        <f>(C5-B5+B6)-146</f>
        <v>1975</v>
      </c>
      <c r="D6" s="12">
        <f>(D5-C5+C6)</f>
        <v>1724</v>
      </c>
      <c r="E6" s="12">
        <f>(E5-(D5-D6))</f>
        <v>1367</v>
      </c>
      <c r="F6" s="12">
        <f t="shared" ref="F6:H6" si="0">(F5-(E5-E6))</f>
        <v>1104</v>
      </c>
      <c r="G6" s="69">
        <f t="shared" si="0"/>
        <v>1031</v>
      </c>
      <c r="H6" s="12">
        <f t="shared" si="0"/>
        <v>992</v>
      </c>
      <c r="I6" s="12" t="s">
        <v>10</v>
      </c>
      <c r="J6" s="12"/>
      <c r="K6" s="12"/>
      <c r="L6" s="12"/>
      <c r="M6" s="32"/>
    </row>
    <row r="7" spans="1:13" x14ac:dyDescent="0.25">
      <c r="A7" s="48" t="s">
        <v>11</v>
      </c>
      <c r="B7" s="27"/>
      <c r="C7" s="47">
        <f>C6+(C37/1000)</f>
        <v>1975</v>
      </c>
      <c r="D7" s="46">
        <f>D6+(D37/1000)+C37/1000</f>
        <v>1857.8842975206612</v>
      </c>
      <c r="E7" s="46">
        <f>E6+(E37/1000)+D37/1000+C37/1000</f>
        <v>1689.3338842975209</v>
      </c>
      <c r="F7" s="46">
        <f>F6+(F37/1000)+E37/1000+D37/1000+C37/1000</f>
        <v>1515.5900826446282</v>
      </c>
      <c r="G7" s="46">
        <f>G6+(G37/1000)+F37/1000+E37/1000+D37/1000+C37/1000</f>
        <v>1353.3338842975209</v>
      </c>
      <c r="H7" s="46">
        <f>H6+(H37/1000)+G37/1000+F37/1000+E37/1000+D37/1000+C37/1000</f>
        <v>1244.119008264463</v>
      </c>
      <c r="I7" s="12"/>
      <c r="J7" s="14"/>
      <c r="K7" s="14"/>
      <c r="L7" s="14"/>
      <c r="M7" s="14"/>
    </row>
    <row r="8" spans="1:13" x14ac:dyDescent="0.25">
      <c r="A8" s="4"/>
      <c r="B8" s="13"/>
      <c r="C8" s="12"/>
      <c r="D8" s="12"/>
      <c r="E8" s="12"/>
      <c r="F8" s="12"/>
      <c r="G8" s="12"/>
      <c r="H8" s="12"/>
      <c r="I8" s="12"/>
      <c r="J8" s="14"/>
      <c r="K8" s="14"/>
      <c r="L8" s="14"/>
      <c r="M8" s="14"/>
    </row>
    <row r="9" spans="1:13" x14ac:dyDescent="0.25">
      <c r="A9" s="10" t="s">
        <v>13</v>
      </c>
      <c r="B9" s="13">
        <v>1336</v>
      </c>
      <c r="C9" s="15">
        <v>1256</v>
      </c>
      <c r="D9" s="15">
        <v>1116</v>
      </c>
      <c r="E9" s="15">
        <v>968</v>
      </c>
      <c r="F9" s="15">
        <v>813</v>
      </c>
      <c r="G9" s="15">
        <v>660</v>
      </c>
      <c r="H9" s="16">
        <v>613</v>
      </c>
      <c r="I9" s="15"/>
      <c r="J9" s="13"/>
      <c r="K9" s="13"/>
      <c r="L9" s="13"/>
      <c r="M9" s="13"/>
    </row>
    <row r="10" spans="1:13" s="16" customFormat="1" x14ac:dyDescent="0.25">
      <c r="A10" s="23" t="s">
        <v>11</v>
      </c>
      <c r="B10" s="27"/>
      <c r="C10" s="27"/>
      <c r="D10" s="28">
        <f>D9+D25/1000</f>
        <v>1194.7239669421488</v>
      </c>
      <c r="E10" s="28">
        <f>E9+E25/1000+D25/1000</f>
        <v>1126.0429752066116</v>
      </c>
      <c r="F10" s="28">
        <f>F9+F25/1000+E25/1000+D25/1000</f>
        <v>1051.790082644628</v>
      </c>
      <c r="G10" s="28">
        <f>G9+G25/1000+F25/1000+E25/1000+D25/1000</f>
        <v>979.12066115702476</v>
      </c>
      <c r="H10" s="28">
        <f>H9+H25/1000+F25/1000+E25/1000+D25/1000+G25/1000</f>
        <v>945.39008264462814</v>
      </c>
      <c r="I10" s="15"/>
      <c r="J10" s="13"/>
      <c r="K10" s="13"/>
      <c r="L10" s="13"/>
      <c r="M10" s="13"/>
    </row>
    <row r="11" spans="1:13" x14ac:dyDescent="0.25">
      <c r="A11" s="4"/>
      <c r="B11" s="13"/>
      <c r="C11" s="13"/>
      <c r="D11" s="15"/>
      <c r="E11" s="15"/>
      <c r="F11" s="15"/>
      <c r="G11" s="15"/>
      <c r="H11" s="15"/>
      <c r="I11" s="15"/>
      <c r="J11" s="13"/>
      <c r="K11" s="13" t="s">
        <v>10</v>
      </c>
      <c r="L11" s="13"/>
      <c r="M11" s="13"/>
    </row>
    <row r="12" spans="1:13" ht="17.399999999999999" x14ac:dyDescent="0.3">
      <c r="A12" s="52" t="s">
        <v>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x14ac:dyDescent="0.25">
      <c r="A13" s="67" t="s">
        <v>14</v>
      </c>
      <c r="B13" s="18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x14ac:dyDescent="0.25">
      <c r="A14" s="10" t="s">
        <v>15</v>
      </c>
      <c r="B14" s="13">
        <v>250</v>
      </c>
      <c r="C14" s="20">
        <v>250</v>
      </c>
      <c r="D14" s="13">
        <v>1500</v>
      </c>
      <c r="E14" s="13">
        <v>1833</v>
      </c>
      <c r="F14" s="13">
        <v>1500</v>
      </c>
      <c r="G14" s="13">
        <v>1500</v>
      </c>
      <c r="H14" s="13">
        <v>750</v>
      </c>
      <c r="I14" s="13"/>
      <c r="J14" s="13"/>
      <c r="K14" s="13"/>
      <c r="L14" s="13"/>
      <c r="M14" s="13"/>
    </row>
    <row r="15" spans="1:13" s="16" customFormat="1" x14ac:dyDescent="0.25">
      <c r="A15" s="23" t="s">
        <v>11</v>
      </c>
      <c r="B15" s="24"/>
      <c r="C15" s="24">
        <v>250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17"/>
      <c r="J15" s="17"/>
      <c r="K15" s="17"/>
      <c r="L15" s="17"/>
      <c r="M15" s="17"/>
    </row>
    <row r="16" spans="1:13" x14ac:dyDescent="0.25">
      <c r="A16" s="9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 x14ac:dyDescent="0.25">
      <c r="A17" s="51" t="s">
        <v>17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x14ac:dyDescent="0.25">
      <c r="A18" s="10" t="s">
        <v>16</v>
      </c>
      <c r="B18" s="13">
        <v>200</v>
      </c>
      <c r="C18" s="17">
        <v>335</v>
      </c>
      <c r="D18" s="13">
        <v>190</v>
      </c>
      <c r="E18" s="13">
        <v>150</v>
      </c>
      <c r="F18" s="13">
        <v>150</v>
      </c>
      <c r="G18" s="13">
        <v>150</v>
      </c>
      <c r="H18" s="13">
        <v>200</v>
      </c>
      <c r="I18" s="13"/>
      <c r="J18" s="13"/>
      <c r="K18" s="13"/>
      <c r="L18" s="13"/>
      <c r="M18" s="13"/>
    </row>
    <row r="19" spans="1:13" s="16" customFormat="1" x14ac:dyDescent="0.25">
      <c r="A19" s="23" t="s">
        <v>11</v>
      </c>
      <c r="B19" s="24"/>
      <c r="C19" s="25">
        <v>335</v>
      </c>
      <c r="D19" s="24">
        <v>300</v>
      </c>
      <c r="E19" s="24">
        <v>300</v>
      </c>
      <c r="F19" s="24">
        <v>300</v>
      </c>
      <c r="G19" s="24">
        <v>300</v>
      </c>
      <c r="H19" s="24">
        <v>300</v>
      </c>
      <c r="I19" s="17"/>
      <c r="J19" s="17"/>
      <c r="K19" s="17"/>
      <c r="L19" s="17"/>
      <c r="M19" s="17"/>
    </row>
    <row r="20" spans="1:13" x14ac:dyDescent="0.25">
      <c r="A20" s="9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x14ac:dyDescent="0.25">
      <c r="A21" s="51" t="s">
        <v>18</v>
      </c>
      <c r="B21" s="13"/>
      <c r="C21" s="13"/>
      <c r="D21" s="15"/>
      <c r="E21" s="15"/>
      <c r="F21" s="15"/>
      <c r="G21" s="15"/>
      <c r="H21" s="15"/>
      <c r="I21" s="15"/>
      <c r="J21" s="13"/>
      <c r="K21" s="13"/>
      <c r="L21" s="13"/>
      <c r="M21" s="13"/>
    </row>
    <row r="22" spans="1:13" x14ac:dyDescent="0.25">
      <c r="A22" s="10" t="s">
        <v>16</v>
      </c>
      <c r="B22" s="13">
        <v>600</v>
      </c>
      <c r="C22" s="13">
        <v>1498</v>
      </c>
      <c r="D22" s="15">
        <v>783</v>
      </c>
      <c r="E22" s="15">
        <v>450</v>
      </c>
      <c r="F22" s="15">
        <v>857</v>
      </c>
      <c r="G22" s="15">
        <v>870</v>
      </c>
      <c r="H22" s="15">
        <v>373</v>
      </c>
      <c r="I22" s="15"/>
      <c r="J22" s="13"/>
      <c r="K22" s="13"/>
      <c r="L22" s="13"/>
      <c r="M22" s="13"/>
    </row>
    <row r="23" spans="1:13" s="16" customFormat="1" x14ac:dyDescent="0.25">
      <c r="A23" s="23" t="s">
        <v>11</v>
      </c>
      <c r="B23" s="24"/>
      <c r="C23" s="24">
        <v>1498</v>
      </c>
      <c r="D23" s="24">
        <v>850</v>
      </c>
      <c r="E23" s="24">
        <v>800</v>
      </c>
      <c r="F23" s="24">
        <v>850</v>
      </c>
      <c r="G23" s="24">
        <v>870</v>
      </c>
      <c r="H23" s="24">
        <v>800</v>
      </c>
      <c r="I23" s="15"/>
      <c r="J23" s="13"/>
      <c r="K23" s="13"/>
      <c r="L23" s="13"/>
      <c r="M23" s="13"/>
    </row>
    <row r="24" spans="1:13" x14ac:dyDescent="0.25">
      <c r="A24" s="19" t="s">
        <v>39</v>
      </c>
      <c r="B24" s="20"/>
      <c r="C24" s="20"/>
      <c r="D24" s="21">
        <f>D14-D15+D18-D19+D22-D23</f>
        <v>1323</v>
      </c>
      <c r="E24" s="21">
        <f t="shared" ref="E24:H24" si="1">E14-E15+E18-E19+E22-E23</f>
        <v>1333</v>
      </c>
      <c r="F24" s="21">
        <f t="shared" si="1"/>
        <v>1357</v>
      </c>
      <c r="G24" s="21">
        <f t="shared" si="1"/>
        <v>1350</v>
      </c>
      <c r="H24" s="21">
        <f t="shared" si="1"/>
        <v>223</v>
      </c>
      <c r="I24" s="30" t="s">
        <v>8</v>
      </c>
      <c r="J24" s="13"/>
      <c r="K24" s="13"/>
      <c r="L24" s="13"/>
      <c r="M24" s="13"/>
    </row>
    <row r="25" spans="1:13" x14ac:dyDescent="0.25">
      <c r="A25" s="23" t="s">
        <v>48</v>
      </c>
      <c r="B25" s="24"/>
      <c r="C25" s="24">
        <f t="shared" ref="C25:H25" si="2">(C24*3600*24*30)/43560</f>
        <v>0</v>
      </c>
      <c r="D25" s="66">
        <f t="shared" si="2"/>
        <v>78723.966942148763</v>
      </c>
      <c r="E25" s="66">
        <f t="shared" si="2"/>
        <v>79319.008264462813</v>
      </c>
      <c r="F25" s="66">
        <f t="shared" si="2"/>
        <v>80747.107438016523</v>
      </c>
      <c r="G25" s="66">
        <f t="shared" si="2"/>
        <v>80330.578512396693</v>
      </c>
      <c r="H25" s="66">
        <f t="shared" si="2"/>
        <v>13269.421487603306</v>
      </c>
      <c r="I25" s="28">
        <f>SUM(C25:H25)</f>
        <v>332390.08264462807</v>
      </c>
      <c r="J25" s="13"/>
      <c r="K25" s="13"/>
      <c r="L25" s="13"/>
      <c r="M25" s="13"/>
    </row>
    <row r="26" spans="1:13" ht="16.8" customHeight="1" x14ac:dyDescent="0.25">
      <c r="B26" s="13"/>
      <c r="C26" s="13"/>
      <c r="D26" s="15"/>
      <c r="E26" s="15"/>
      <c r="F26" s="15"/>
      <c r="G26" s="15"/>
      <c r="H26" s="15"/>
      <c r="I26" s="15"/>
      <c r="J26" s="13"/>
      <c r="K26" s="13"/>
      <c r="L26" s="13"/>
      <c r="M26" s="13"/>
    </row>
    <row r="27" spans="1:13" ht="50.4" customHeight="1" x14ac:dyDescent="0.25">
      <c r="A27" s="51" t="s">
        <v>47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x14ac:dyDescent="0.25">
      <c r="A28" s="10" t="s">
        <v>16</v>
      </c>
      <c r="B28" s="17">
        <v>5900</v>
      </c>
      <c r="C28" s="17">
        <v>8900</v>
      </c>
      <c r="D28" s="13">
        <v>8750</v>
      </c>
      <c r="E28" s="13">
        <v>10000</v>
      </c>
      <c r="F28" s="13">
        <v>8000</v>
      </c>
      <c r="G28" s="13">
        <v>5000</v>
      </c>
      <c r="H28" s="13">
        <v>4570</v>
      </c>
      <c r="I28" s="13"/>
      <c r="J28" s="13"/>
      <c r="K28" s="13"/>
      <c r="L28" s="13"/>
      <c r="M28" s="13"/>
    </row>
    <row r="29" spans="1:13" s="16" customFormat="1" x14ac:dyDescent="0.25">
      <c r="A29" s="23" t="s">
        <v>11</v>
      </c>
      <c r="B29" s="25">
        <v>5900</v>
      </c>
      <c r="C29" s="25">
        <v>8900</v>
      </c>
      <c r="D29" s="24">
        <v>5000</v>
      </c>
      <c r="E29" s="24">
        <v>5000</v>
      </c>
      <c r="F29" s="24">
        <v>5000</v>
      </c>
      <c r="G29" s="24">
        <v>5000</v>
      </c>
      <c r="H29" s="24">
        <v>5000</v>
      </c>
      <c r="I29" s="17"/>
      <c r="J29" s="17"/>
      <c r="K29" s="17"/>
      <c r="L29" s="17"/>
      <c r="M29" s="17"/>
    </row>
    <row r="30" spans="1:13" s="16" customFormat="1" ht="27.6" x14ac:dyDescent="0.25">
      <c r="A30" s="50" t="s">
        <v>33</v>
      </c>
      <c r="B30" s="20"/>
      <c r="C30" s="17"/>
      <c r="D30" s="20"/>
      <c r="E30" s="20"/>
      <c r="F30" s="20"/>
      <c r="G30" s="20"/>
      <c r="H30" s="20"/>
      <c r="I30" s="17"/>
      <c r="J30" s="17"/>
      <c r="K30" s="17"/>
      <c r="L30" s="17"/>
      <c r="M30" s="17"/>
    </row>
    <row r="31" spans="1:13" x14ac:dyDescent="0.25">
      <c r="A31" s="10" t="s">
        <v>19</v>
      </c>
      <c r="B31" s="4">
        <v>5900</v>
      </c>
      <c r="C31" s="4">
        <v>8100</v>
      </c>
      <c r="D31" s="22">
        <f t="shared" ref="D31:H31" si="3">D28-D14</f>
        <v>7250</v>
      </c>
      <c r="E31" s="22">
        <f t="shared" si="3"/>
        <v>8167</v>
      </c>
      <c r="F31" s="22">
        <f t="shared" si="3"/>
        <v>6500</v>
      </c>
      <c r="G31" s="22">
        <f t="shared" si="3"/>
        <v>3500</v>
      </c>
      <c r="H31" s="22">
        <f t="shared" si="3"/>
        <v>3820</v>
      </c>
      <c r="I31" s="22"/>
      <c r="J31" s="22"/>
      <c r="K31" s="22"/>
      <c r="L31" s="22"/>
      <c r="M31" s="22"/>
    </row>
    <row r="32" spans="1:13" x14ac:dyDescent="0.25">
      <c r="A32" s="23" t="s">
        <v>20</v>
      </c>
      <c r="B32" s="68">
        <v>5900</v>
      </c>
      <c r="C32" s="25">
        <v>8100</v>
      </c>
      <c r="D32" s="24">
        <f t="shared" ref="D32:H32" si="4">D29-D15</f>
        <v>5000</v>
      </c>
      <c r="E32" s="24">
        <f t="shared" si="4"/>
        <v>5000</v>
      </c>
      <c r="F32" s="24">
        <f t="shared" si="4"/>
        <v>5000</v>
      </c>
      <c r="G32" s="24">
        <f t="shared" si="4"/>
        <v>5000</v>
      </c>
      <c r="H32" s="24">
        <f t="shared" si="4"/>
        <v>5000</v>
      </c>
      <c r="I32" s="30" t="s">
        <v>8</v>
      </c>
      <c r="J32" s="6"/>
      <c r="K32" s="6"/>
      <c r="L32" s="6"/>
      <c r="M32" s="6"/>
    </row>
    <row r="33" spans="1:13" ht="27.6" x14ac:dyDescent="0.25">
      <c r="A33" s="41" t="s">
        <v>24</v>
      </c>
      <c r="B33" s="45"/>
      <c r="C33" s="56">
        <f>(C31*3600*24*31)/43560</f>
        <v>498049.58677685948</v>
      </c>
      <c r="D33" s="57">
        <f t="shared" ref="D33:D34" si="5">(D31*3600*24*30)/43560</f>
        <v>431404.95867768594</v>
      </c>
      <c r="E33" s="57">
        <f>(E31*3600*24*31)/43560</f>
        <v>502169.25619834708</v>
      </c>
      <c r="F33" s="57">
        <f>(F31*3600*24*31)/43560</f>
        <v>399669.42148760328</v>
      </c>
      <c r="G33" s="58">
        <f t="shared" ref="G33:G34" si="6">(G31*3600*24*30)/43560</f>
        <v>208264.46280991734</v>
      </c>
      <c r="H33" s="57">
        <f>(H31*3600*24*31)/43560</f>
        <v>234882.64462809917</v>
      </c>
      <c r="I33" s="30">
        <f>SUM(C33:H33)</f>
        <v>2274440.3305785125</v>
      </c>
      <c r="J33" s="6"/>
      <c r="K33" s="6" t="s">
        <v>10</v>
      </c>
      <c r="L33" s="6"/>
      <c r="M33" s="6"/>
    </row>
    <row r="34" spans="1:13" ht="27.6" x14ac:dyDescent="0.25">
      <c r="A34" s="63" t="s">
        <v>31</v>
      </c>
      <c r="B34" s="40"/>
      <c r="C34" s="64">
        <f>(C32*3600*24*31)/43560</f>
        <v>498049.58677685948</v>
      </c>
      <c r="D34" s="64">
        <f t="shared" si="5"/>
        <v>297520.66115702479</v>
      </c>
      <c r="E34" s="64">
        <f>(E32*3600*24*31)/43560</f>
        <v>307438.01652892563</v>
      </c>
      <c r="F34" s="64">
        <f>(F32*3600*24*31)/43560</f>
        <v>307438.01652892563</v>
      </c>
      <c r="G34" s="65">
        <f t="shared" si="6"/>
        <v>297520.66115702479</v>
      </c>
      <c r="H34" s="64">
        <f>(H32*3600*24*31)/43560</f>
        <v>307438.01652892563</v>
      </c>
      <c r="I34" s="66">
        <f>SUM(C34:H34)</f>
        <v>2015404.9586776861</v>
      </c>
      <c r="J34" s="34"/>
      <c r="K34" s="6"/>
      <c r="L34" s="6"/>
      <c r="M34" s="6"/>
    </row>
    <row r="35" spans="1:13" x14ac:dyDescent="0.25">
      <c r="A35" s="23" t="s">
        <v>21</v>
      </c>
      <c r="B35" s="59">
        <v>6100</v>
      </c>
      <c r="C35" s="59">
        <v>9235</v>
      </c>
      <c r="D35" s="60">
        <f t="shared" ref="D35:H35" si="7">D32+D19</f>
        <v>5300</v>
      </c>
      <c r="E35" s="60">
        <f t="shared" si="7"/>
        <v>5300</v>
      </c>
      <c r="F35" s="60">
        <f t="shared" si="7"/>
        <v>5300</v>
      </c>
      <c r="G35" s="60">
        <f t="shared" si="7"/>
        <v>5300</v>
      </c>
      <c r="H35" s="60">
        <f t="shared" si="7"/>
        <v>5300</v>
      </c>
    </row>
    <row r="36" spans="1:13" x14ac:dyDescent="0.25">
      <c r="A36" s="36" t="s">
        <v>25</v>
      </c>
      <c r="B36" s="26"/>
      <c r="C36" s="60">
        <f t="shared" ref="C36:H36" si="8">C31-C32</f>
        <v>0</v>
      </c>
      <c r="D36" s="60">
        <f t="shared" si="8"/>
        <v>2250</v>
      </c>
      <c r="E36" s="60">
        <f t="shared" si="8"/>
        <v>3167</v>
      </c>
      <c r="F36" s="60">
        <f t="shared" si="8"/>
        <v>1500</v>
      </c>
      <c r="G36" s="60">
        <f t="shared" si="8"/>
        <v>-1500</v>
      </c>
      <c r="H36" s="60">
        <f t="shared" si="8"/>
        <v>-1180</v>
      </c>
      <c r="I36" s="37" t="s">
        <v>8</v>
      </c>
    </row>
    <row r="37" spans="1:13" x14ac:dyDescent="0.25">
      <c r="A37" s="36" t="s">
        <v>49</v>
      </c>
      <c r="B37" s="26"/>
      <c r="C37" s="61">
        <f>(C36*3600*24*30)/43560</f>
        <v>0</v>
      </c>
      <c r="D37" s="61">
        <f t="shared" ref="D37:H37" si="9">(D36*3600*24*30)/43560</f>
        <v>133884.29752066114</v>
      </c>
      <c r="E37" s="61">
        <f t="shared" si="9"/>
        <v>188449.58677685951</v>
      </c>
      <c r="F37" s="61">
        <f t="shared" si="9"/>
        <v>89256.198347107435</v>
      </c>
      <c r="G37" s="61">
        <f t="shared" si="9"/>
        <v>-89256.198347107435</v>
      </c>
      <c r="H37" s="61">
        <f t="shared" si="9"/>
        <v>-70214.876033057852</v>
      </c>
      <c r="I37" s="39">
        <f>SUM(C37:H37)</f>
        <v>252119.00826446275</v>
      </c>
    </row>
    <row r="38" spans="1:13" ht="9" customHeight="1" x14ac:dyDescent="0.25">
      <c r="C38" s="7"/>
      <c r="D38" s="7"/>
      <c r="E38" s="7"/>
      <c r="F38" s="7"/>
      <c r="G38" s="7"/>
      <c r="H38" s="7" t="s">
        <v>10</v>
      </c>
      <c r="I38" s="8"/>
    </row>
    <row r="39" spans="1:13" x14ac:dyDescent="0.25">
      <c r="A39" s="2" t="s">
        <v>37</v>
      </c>
      <c r="C39" s="7"/>
      <c r="D39" s="7"/>
      <c r="E39" s="7"/>
      <c r="F39" s="7"/>
      <c r="G39" s="7"/>
      <c r="H39" s="7"/>
      <c r="I39" s="8"/>
    </row>
    <row r="40" spans="1:13" ht="22.8" customHeight="1" x14ac:dyDescent="0.25">
      <c r="A40" s="2" t="s">
        <v>55</v>
      </c>
      <c r="C40" s="7"/>
      <c r="D40" s="7"/>
      <c r="E40" s="7"/>
      <c r="F40" s="7"/>
      <c r="G40" s="7"/>
      <c r="H40" s="7"/>
      <c r="I40" s="8"/>
    </row>
    <row r="41" spans="1:13" ht="16.2" customHeight="1" x14ac:dyDescent="0.25">
      <c r="A41" s="70" t="s">
        <v>56</v>
      </c>
      <c r="C41" s="7"/>
      <c r="D41" s="7"/>
      <c r="E41" s="7"/>
      <c r="F41" s="7"/>
      <c r="G41" s="7"/>
      <c r="H41" s="7"/>
      <c r="I41" s="8"/>
    </row>
    <row r="42" spans="1:13" ht="25.2" customHeight="1" x14ac:dyDescent="0.25">
      <c r="A42" s="2" t="s">
        <v>46</v>
      </c>
      <c r="C42" s="7"/>
      <c r="D42" s="7"/>
      <c r="E42" s="7"/>
      <c r="F42" s="7"/>
      <c r="G42" s="7"/>
      <c r="H42" s="7"/>
      <c r="I42" s="8"/>
    </row>
    <row r="43" spans="1:13" x14ac:dyDescent="0.25">
      <c r="A43" s="2" t="s">
        <v>45</v>
      </c>
      <c r="C43" s="7"/>
      <c r="D43" s="7"/>
      <c r="E43" s="7"/>
      <c r="F43" s="7"/>
      <c r="G43" s="7"/>
      <c r="H43" s="7"/>
      <c r="I43" s="8"/>
    </row>
    <row r="44" spans="1:13" x14ac:dyDescent="0.25">
      <c r="C44" s="7"/>
      <c r="D44" s="7"/>
      <c r="E44" s="7"/>
      <c r="F44" s="7"/>
      <c r="G44" s="7"/>
      <c r="H44" s="7"/>
      <c r="I44" s="8"/>
    </row>
    <row r="45" spans="1:13" x14ac:dyDescent="0.25">
      <c r="A45" s="2" t="s">
        <v>38</v>
      </c>
      <c r="C45" s="7"/>
      <c r="D45" s="7"/>
      <c r="E45" s="7"/>
      <c r="F45" s="7"/>
      <c r="G45" s="7"/>
      <c r="H45" s="7"/>
      <c r="I45" s="8"/>
    </row>
    <row r="46" spans="1:13" x14ac:dyDescent="0.25">
      <c r="C46" s="7"/>
      <c r="D46" s="7"/>
      <c r="E46" s="7"/>
      <c r="F46" s="7"/>
      <c r="G46" s="7"/>
      <c r="H46" s="7"/>
      <c r="I46" s="8"/>
    </row>
    <row r="47" spans="1:13" x14ac:dyDescent="0.25">
      <c r="A47" s="2" t="s">
        <v>40</v>
      </c>
    </row>
    <row r="48" spans="1:13" x14ac:dyDescent="0.25">
      <c r="A48" s="2" t="s">
        <v>43</v>
      </c>
    </row>
    <row r="49" spans="1:13" x14ac:dyDescent="0.25">
      <c r="A49" s="2" t="s">
        <v>10</v>
      </c>
    </row>
    <row r="50" spans="1:13" x14ac:dyDescent="0.25">
      <c r="A50" s="16" t="s">
        <v>52</v>
      </c>
      <c r="B50" s="16"/>
      <c r="C50" s="16"/>
      <c r="D50" s="16"/>
      <c r="E50" s="16"/>
      <c r="F50" s="16"/>
      <c r="G50" s="16"/>
    </row>
    <row r="51" spans="1:13" x14ac:dyDescent="0.25">
      <c r="A51" s="16" t="s">
        <v>53</v>
      </c>
      <c r="B51" s="16"/>
      <c r="C51" s="16"/>
      <c r="D51" s="16"/>
      <c r="E51" s="16"/>
      <c r="F51" s="16"/>
      <c r="G51" s="16"/>
    </row>
    <row r="52" spans="1:13" x14ac:dyDescent="0.25">
      <c r="F52" s="2" t="s">
        <v>10</v>
      </c>
    </row>
    <row r="53" spans="1:13" x14ac:dyDescent="0.25">
      <c r="A53" s="2" t="s">
        <v>41</v>
      </c>
    </row>
    <row r="54" spans="1:13" x14ac:dyDescent="0.25">
      <c r="A54" s="2" t="s">
        <v>42</v>
      </c>
    </row>
    <row r="55" spans="1:13" ht="8.4" customHeight="1" x14ac:dyDescent="0.25"/>
    <row r="56" spans="1:13" x14ac:dyDescent="0.25">
      <c r="A56" s="2" t="s">
        <v>54</v>
      </c>
    </row>
    <row r="57" spans="1:13" ht="12" customHeight="1" x14ac:dyDescent="0.25"/>
    <row r="58" spans="1:13" ht="60.6" customHeight="1" x14ac:dyDescent="0.3">
      <c r="A58" s="53" t="s">
        <v>34</v>
      </c>
      <c r="I58" s="2" t="s">
        <v>22</v>
      </c>
    </row>
    <row r="59" spans="1:13" ht="62.4" customHeight="1" x14ac:dyDescent="0.25">
      <c r="B59" s="3"/>
      <c r="C59" s="29" t="s">
        <v>1</v>
      </c>
      <c r="D59" s="29" t="s">
        <v>3</v>
      </c>
      <c r="E59" s="29" t="s">
        <v>4</v>
      </c>
      <c r="F59" s="29" t="s">
        <v>5</v>
      </c>
      <c r="G59" s="29" t="s">
        <v>6</v>
      </c>
      <c r="H59" s="29" t="s">
        <v>7</v>
      </c>
      <c r="I59" s="30" t="s">
        <v>8</v>
      </c>
      <c r="M59" s="2" t="s">
        <v>22</v>
      </c>
    </row>
    <row r="60" spans="1:13" x14ac:dyDescent="0.25">
      <c r="A60" s="33" t="s">
        <v>50</v>
      </c>
      <c r="B60" s="33" t="s">
        <v>35</v>
      </c>
      <c r="C60" s="31">
        <f>(C28+C18+1000-4000)*3600*24*31/43560</f>
        <v>383375.20661157026</v>
      </c>
      <c r="D60" s="7">
        <f>(D28+D18+300-4000)*3600*24*31/43560</f>
        <v>322195.04132231406</v>
      </c>
      <c r="E60" s="7">
        <f t="shared" ref="E60:G61" si="10">(E28+E18+200-4000)*3600*24*31/43560</f>
        <v>390446.28099173552</v>
      </c>
      <c r="F60" s="7">
        <f t="shared" si="10"/>
        <v>267471.07438016532</v>
      </c>
      <c r="G60" s="7">
        <f t="shared" si="10"/>
        <v>83008.264462809922</v>
      </c>
      <c r="H60" s="7">
        <f>(H28+H18+300-4000)*3600*24*31/43560</f>
        <v>65791.735537190078</v>
      </c>
      <c r="I60" s="35">
        <f>SUM(C60:H60)</f>
        <v>1512287.6033057855</v>
      </c>
    </row>
    <row r="61" spans="1:13" x14ac:dyDescent="0.25">
      <c r="A61" s="60" t="s">
        <v>51</v>
      </c>
      <c r="B61" s="60" t="s">
        <v>36</v>
      </c>
      <c r="C61" s="54">
        <f>(C29+C19+1000-4000)*3600*24*31/43560</f>
        <v>383375.20661157026</v>
      </c>
      <c r="D61" s="38">
        <f>(D29+D19+300-4000)*3600*24*31/43560</f>
        <v>98380.165289256198</v>
      </c>
      <c r="E61" s="38">
        <f t="shared" si="10"/>
        <v>92231.404958677682</v>
      </c>
      <c r="F61" s="38">
        <f t="shared" si="10"/>
        <v>92231.404958677682</v>
      </c>
      <c r="G61" s="38">
        <f t="shared" si="10"/>
        <v>92231.404958677682</v>
      </c>
      <c r="H61" s="38">
        <f>(H29+H19+300-4000)*3600*24*31/43560</f>
        <v>98380.165289256198</v>
      </c>
      <c r="I61" s="61">
        <f>SUM(C61:H61)</f>
        <v>856829.75206611585</v>
      </c>
    </row>
    <row r="75" spans="1:8" ht="16.2" customHeight="1" x14ac:dyDescent="0.25"/>
    <row r="76" spans="1:8" ht="168.6" customHeight="1" x14ac:dyDescent="0.25"/>
    <row r="77" spans="1:8" x14ac:dyDescent="0.25">
      <c r="A77" s="33" t="s">
        <v>30</v>
      </c>
    </row>
    <row r="78" spans="1:8" x14ac:dyDescent="0.25">
      <c r="B78" s="29" t="s">
        <v>2</v>
      </c>
      <c r="C78" s="29" t="s">
        <v>1</v>
      </c>
      <c r="D78" s="29" t="s">
        <v>3</v>
      </c>
      <c r="E78" s="29" t="s">
        <v>4</v>
      </c>
      <c r="F78" s="29" t="s">
        <v>5</v>
      </c>
      <c r="G78" s="29" t="s">
        <v>6</v>
      </c>
      <c r="H78" s="29" t="s">
        <v>7</v>
      </c>
    </row>
    <row r="79" spans="1:8" x14ac:dyDescent="0.25">
      <c r="A79" s="33" t="s">
        <v>26</v>
      </c>
      <c r="B79" s="16">
        <v>2290</v>
      </c>
      <c r="C79" s="16">
        <v>1975</v>
      </c>
      <c r="D79" s="16">
        <v>1724</v>
      </c>
      <c r="E79" s="16">
        <v>1367</v>
      </c>
      <c r="F79" s="16">
        <v>1104</v>
      </c>
      <c r="G79" s="16">
        <v>1031</v>
      </c>
      <c r="H79" s="16">
        <v>992</v>
      </c>
    </row>
    <row r="80" spans="1:8" x14ac:dyDescent="0.25">
      <c r="A80" s="60" t="s">
        <v>27</v>
      </c>
      <c r="B80" s="26"/>
      <c r="C80" s="38">
        <v>1975</v>
      </c>
      <c r="D80" s="38">
        <v>1857.8842975206612</v>
      </c>
      <c r="E80" s="38">
        <v>1689.3338842975209</v>
      </c>
      <c r="F80" s="38">
        <v>1515.5900826446282</v>
      </c>
      <c r="G80" s="38">
        <v>1353.3338842975209</v>
      </c>
      <c r="H80" s="38">
        <v>1244.119008264463</v>
      </c>
    </row>
    <row r="81" spans="1:8" x14ac:dyDescent="0.25">
      <c r="A81" s="42" t="s">
        <v>28</v>
      </c>
      <c r="B81" s="43">
        <v>1336</v>
      </c>
      <c r="C81" s="44">
        <v>1256</v>
      </c>
      <c r="D81" s="44">
        <v>1116</v>
      </c>
      <c r="E81" s="44">
        <v>968</v>
      </c>
      <c r="F81" s="44">
        <v>813</v>
      </c>
      <c r="G81" s="44">
        <v>660</v>
      </c>
      <c r="H81" s="2">
        <v>613</v>
      </c>
    </row>
    <row r="82" spans="1:8" x14ac:dyDescent="0.25">
      <c r="A82" s="60" t="s">
        <v>29</v>
      </c>
      <c r="B82" s="26"/>
      <c r="C82" s="26"/>
      <c r="D82" s="38">
        <v>1194.7239669421488</v>
      </c>
      <c r="E82" s="38">
        <v>1126.0429752066116</v>
      </c>
      <c r="F82" s="38">
        <v>1051.790082644628</v>
      </c>
      <c r="G82" s="38">
        <v>979.12066115702476</v>
      </c>
      <c r="H82" s="38">
        <v>945.39008264462814</v>
      </c>
    </row>
  </sheetData>
  <phoneticPr fontId="8" alignment="center"/>
  <pageMargins left="0.7" right="0.7" top="0.75" bottom="0.75" header="0.3" footer="0.3"/>
  <pageSetup fitToHeight="0" orientation="landscape" horizontalDpi="1200" verticalDpi="1200" r:id="rId1"/>
  <ignoredErrors>
    <ignoredError sqref="G33:G34 D33:D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Cannon</dc:creator>
  <cp:lastModifiedBy>Chris Shutes</cp:lastModifiedBy>
  <cp:lastPrinted>2021-05-24T06:30:04Z</cp:lastPrinted>
  <dcterms:created xsi:type="dcterms:W3CDTF">2021-05-08T12:18:42Z</dcterms:created>
  <dcterms:modified xsi:type="dcterms:W3CDTF">2021-05-24T06:31:46Z</dcterms:modified>
</cp:coreProperties>
</file>