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Programs\LA Region\Peninsula WMG\CIMP Implementation\Data Submittals to RB (CEDEN, etc.)\Submittals\2017.12.15\Highlighted Exceedances to RB\"/>
    </mc:Choice>
  </mc:AlternateContent>
  <bookViews>
    <workbookView xWindow="120" yWindow="20" windowWidth="18960" windowHeight="11330"/>
  </bookViews>
  <sheets>
    <sheet name="FY16-17" sheetId="1" r:id="rId1"/>
  </sheets>
  <calcPr calcId="152511"/>
</workbook>
</file>

<file path=xl/calcChain.xml><?xml version="1.0" encoding="utf-8"?>
<calcChain xmlns="http://schemas.openxmlformats.org/spreadsheetml/2006/main">
  <c r="U35" i="1" l="1"/>
  <c r="R56" i="1" l="1"/>
  <c r="R55" i="1"/>
  <c r="R45" i="1"/>
  <c r="R46" i="1"/>
  <c r="K56" i="1"/>
  <c r="K55" i="1"/>
  <c r="R6" i="1"/>
  <c r="R5" i="1"/>
  <c r="K5" i="1"/>
  <c r="K6" i="1"/>
  <c r="R62" i="1" l="1"/>
  <c r="K62" i="1"/>
  <c r="R68" i="1" l="1"/>
  <c r="R67" i="1"/>
  <c r="R64" i="1"/>
  <c r="R63" i="1"/>
  <c r="U63" i="1" s="1"/>
  <c r="R60" i="1"/>
  <c r="R59" i="1"/>
  <c r="U59" i="1" s="1"/>
  <c r="R52" i="1"/>
  <c r="R51" i="1"/>
  <c r="R48" i="1"/>
  <c r="R47" i="1"/>
  <c r="U47" i="1" s="1"/>
  <c r="R43" i="1"/>
  <c r="R40" i="1"/>
  <c r="R39" i="1"/>
  <c r="R38" i="1"/>
  <c r="R37" i="1"/>
  <c r="R36" i="1"/>
  <c r="R35" i="1"/>
  <c r="R32" i="1"/>
  <c r="R31" i="1"/>
  <c r="R30" i="1"/>
  <c r="T25" i="1" s="1"/>
  <c r="R29" i="1"/>
  <c r="T24" i="1" s="1"/>
  <c r="R28" i="1"/>
  <c r="S23" i="1" s="1"/>
  <c r="R27" i="1"/>
  <c r="R26" i="1"/>
  <c r="R23" i="1"/>
  <c r="R22" i="1"/>
  <c r="R19" i="1"/>
  <c r="R18" i="1"/>
  <c r="U18" i="1" s="1"/>
  <c r="R15" i="1"/>
  <c r="R14" i="1"/>
  <c r="U14" i="1" s="1"/>
  <c r="R11" i="1"/>
  <c r="R10" i="1"/>
  <c r="U10" i="1" s="1"/>
  <c r="R9" i="1"/>
  <c r="U5" i="1" s="1"/>
  <c r="K10" i="1"/>
  <c r="N10" i="1" s="1"/>
  <c r="K11" i="1"/>
  <c r="K14" i="1"/>
  <c r="K15" i="1"/>
  <c r="K18" i="1"/>
  <c r="N18" i="1" s="1"/>
  <c r="K19" i="1"/>
  <c r="K22" i="1"/>
  <c r="K23" i="1"/>
  <c r="K26" i="1"/>
  <c r="K27" i="1"/>
  <c r="K28" i="1"/>
  <c r="K29" i="1"/>
  <c r="M24" i="1" s="1"/>
  <c r="K30" i="1"/>
  <c r="M25" i="1" s="1"/>
  <c r="K31" i="1"/>
  <c r="K32" i="1"/>
  <c r="K35" i="1"/>
  <c r="K36" i="1"/>
  <c r="K37" i="1"/>
  <c r="K38" i="1"/>
  <c r="K39" i="1"/>
  <c r="K40" i="1"/>
  <c r="K43" i="1"/>
  <c r="K45" i="1"/>
  <c r="K46" i="1"/>
  <c r="K47" i="1"/>
  <c r="N47" i="1" s="1"/>
  <c r="K48" i="1"/>
  <c r="K51" i="1"/>
  <c r="K52" i="1"/>
  <c r="K59" i="1"/>
  <c r="N59" i="1" s="1"/>
  <c r="K60" i="1"/>
  <c r="K63" i="1"/>
  <c r="N63" i="1" s="1"/>
  <c r="K64" i="1"/>
  <c r="K67" i="1"/>
  <c r="N67" i="1" s="1"/>
  <c r="K68" i="1"/>
  <c r="K9" i="1"/>
  <c r="N5" i="1" s="1"/>
  <c r="S22" i="1" l="1"/>
  <c r="U67" i="1"/>
  <c r="T23" i="1"/>
  <c r="M52" i="1"/>
  <c r="L52" i="1"/>
  <c r="L35" i="1"/>
  <c r="M35" i="1"/>
  <c r="L23" i="1"/>
  <c r="M23" i="1"/>
  <c r="T35" i="1"/>
  <c r="S35" i="1"/>
  <c r="T22" i="1"/>
  <c r="U22" i="1" s="1"/>
  <c r="L51" i="1"/>
  <c r="M51" i="1"/>
  <c r="M38" i="1"/>
  <c r="L38" i="1"/>
  <c r="L22" i="1"/>
  <c r="M22" i="1"/>
  <c r="N14" i="1"/>
  <c r="T36" i="1"/>
  <c r="S36" i="1"/>
  <c r="S51" i="1"/>
  <c r="T51" i="1"/>
  <c r="L36" i="1"/>
  <c r="M36" i="1"/>
  <c r="T38" i="1"/>
  <c r="S38" i="1"/>
  <c r="L37" i="1"/>
  <c r="M37" i="1"/>
  <c r="N31" i="1"/>
  <c r="U31" i="1"/>
  <c r="T37" i="1"/>
  <c r="S37" i="1"/>
  <c r="S52" i="1"/>
  <c r="T52" i="1"/>
  <c r="N51" i="1" l="1"/>
  <c r="U51" i="1"/>
  <c r="N22" i="1"/>
  <c r="N35" i="1"/>
</calcChain>
</file>

<file path=xl/sharedStrings.xml><?xml version="1.0" encoding="utf-8"?>
<sst xmlns="http://schemas.openxmlformats.org/spreadsheetml/2006/main" count="565" uniqueCount="138">
  <si>
    <r>
      <rPr>
        <b/>
        <sz val="11"/>
        <rFont val="Calibri"/>
        <family val="2"/>
      </rPr>
      <t xml:space="preserve">Nitrate as nitrogen mg/L
</t>
    </r>
    <r>
      <rPr>
        <b/>
        <sz val="11"/>
        <rFont val="Calibri"/>
        <family val="2"/>
      </rPr>
      <t>--</t>
    </r>
  </si>
  <si>
    <r>
      <rPr>
        <b/>
        <sz val="11"/>
        <rFont val="Calibri"/>
        <family val="2"/>
      </rPr>
      <t xml:space="preserve">Nitrite as nitrogen mg/L
</t>
    </r>
    <r>
      <rPr>
        <b/>
        <sz val="11"/>
        <rFont val="Calibri"/>
        <family val="2"/>
      </rPr>
      <t>--</t>
    </r>
  </si>
  <si>
    <r>
      <rPr>
        <b/>
        <sz val="11"/>
        <rFont val="Calibri"/>
        <family val="2"/>
      </rPr>
      <t xml:space="preserve">Nitrate + nitrite as nitrogen mg/L
</t>
    </r>
    <r>
      <rPr>
        <b/>
        <sz val="11"/>
        <rFont val="Calibri"/>
        <family val="2"/>
      </rPr>
      <t>--</t>
    </r>
  </si>
  <si>
    <r>
      <rPr>
        <b/>
        <sz val="11"/>
        <rFont val="Calibri"/>
        <family val="2"/>
      </rPr>
      <t xml:space="preserve">Nitrogen (Kjeldahl) mg/L
</t>
    </r>
    <r>
      <rPr>
        <b/>
        <sz val="11"/>
        <rFont val="Calibri"/>
        <family val="2"/>
      </rPr>
      <t>--</t>
    </r>
  </si>
  <si>
    <r>
      <rPr>
        <sz val="11"/>
        <rFont val="Calibri"/>
        <family val="2"/>
      </rPr>
      <t>July</t>
    </r>
  </si>
  <si>
    <r>
      <rPr>
        <sz val="11"/>
        <rFont val="Calibri"/>
        <family val="2"/>
      </rPr>
      <t>RHE CITY HALL</t>
    </r>
  </si>
  <si>
    <r>
      <rPr>
        <sz val="11"/>
        <rFont val="Calibri"/>
        <family val="2"/>
      </rPr>
      <t>RHECH-07-20-16</t>
    </r>
  </si>
  <si>
    <r>
      <rPr>
        <sz val="11"/>
        <rFont val="Calibri"/>
        <family val="2"/>
      </rPr>
      <t>0.012 U</t>
    </r>
  </si>
  <si>
    <r>
      <rPr>
        <sz val="11"/>
        <rFont val="Calibri"/>
        <family val="2"/>
      </rPr>
      <t>0.053 U</t>
    </r>
  </si>
  <si>
    <r>
      <rPr>
        <b/>
        <sz val="11"/>
        <rFont val="Calibri"/>
        <family val="2"/>
      </rPr>
      <t>--</t>
    </r>
  </si>
  <si>
    <r>
      <rPr>
        <b/>
        <sz val="11"/>
        <rFont val="Calibri"/>
        <family val="2"/>
      </rPr>
      <t>0.82 J</t>
    </r>
  </si>
  <si>
    <r>
      <rPr>
        <sz val="11"/>
        <rFont val="Calibri"/>
        <family val="2"/>
      </rPr>
      <t>VALMONTE</t>
    </r>
  </si>
  <si>
    <r>
      <rPr>
        <sz val="11"/>
        <rFont val="Calibri"/>
        <family val="2"/>
      </rPr>
      <t>Valmonte-07-20-16</t>
    </r>
  </si>
  <si>
    <r>
      <rPr>
        <b/>
        <sz val="11"/>
        <rFont val="Calibri"/>
        <family val="2"/>
      </rPr>
      <t>2.6 J</t>
    </r>
  </si>
  <si>
    <r>
      <rPr>
        <sz val="11"/>
        <rFont val="Calibri"/>
        <family val="2"/>
      </rPr>
      <t>LARIAT</t>
    </r>
  </si>
  <si>
    <r>
      <rPr>
        <sz val="11"/>
        <rFont val="Calibri"/>
        <family val="2"/>
      </rPr>
      <t>No flow</t>
    </r>
  </si>
  <si>
    <r>
      <rPr>
        <sz val="11"/>
        <rFont val="Calibri"/>
        <family val="2"/>
      </rPr>
      <t>--</t>
    </r>
  </si>
  <si>
    <r>
      <rPr>
        <sz val="11"/>
        <rFont val="Calibri"/>
        <family val="2"/>
      </rPr>
      <t>SOLANO</t>
    </r>
  </si>
  <si>
    <r>
      <rPr>
        <sz val="11"/>
        <rFont val="Calibri"/>
        <family val="2"/>
      </rPr>
      <t>Valmonte-07-29-16</t>
    </r>
  </si>
  <si>
    <r>
      <rPr>
        <b/>
        <sz val="11"/>
        <rFont val="Calibri"/>
        <family val="2"/>
      </rPr>
      <t>0.66 J</t>
    </r>
  </si>
  <si>
    <r>
      <rPr>
        <sz val="11"/>
        <rFont val="Calibri"/>
        <family val="2"/>
      </rPr>
      <t>August</t>
    </r>
  </si>
  <si>
    <r>
      <rPr>
        <sz val="11"/>
        <rFont val="Calibri"/>
        <family val="2"/>
      </rPr>
      <t>RHECH-08-04-16</t>
    </r>
  </si>
  <si>
    <r>
      <rPr>
        <b/>
        <sz val="11"/>
        <rFont val="Calibri"/>
        <family val="2"/>
      </rPr>
      <t>0.082 J</t>
    </r>
  </si>
  <si>
    <r>
      <rPr>
        <b/>
        <sz val="11"/>
        <rFont val="Calibri"/>
        <family val="2"/>
      </rPr>
      <t>0.562 J</t>
    </r>
  </si>
  <si>
    <r>
      <rPr>
        <sz val="11"/>
        <rFont val="Calibri"/>
        <family val="2"/>
      </rPr>
      <t>Valmonte-08-04-16</t>
    </r>
  </si>
  <si>
    <r>
      <rPr>
        <sz val="11"/>
        <rFont val="Calibri"/>
        <family val="2"/>
      </rPr>
      <t>September</t>
    </r>
  </si>
  <si>
    <r>
      <rPr>
        <sz val="11"/>
        <rFont val="Calibri"/>
        <family val="2"/>
      </rPr>
      <t>RHECH-09-08-16</t>
    </r>
  </si>
  <si>
    <r>
      <rPr>
        <b/>
        <sz val="11"/>
        <rFont val="Calibri"/>
        <family val="2"/>
      </rPr>
      <t>0.063 J</t>
    </r>
  </si>
  <si>
    <r>
      <rPr>
        <b/>
        <sz val="11"/>
        <rFont val="Calibri"/>
        <family val="2"/>
      </rPr>
      <t>0.593 J</t>
    </r>
  </si>
  <si>
    <r>
      <rPr>
        <b/>
        <sz val="11"/>
        <rFont val="Calibri"/>
        <family val="2"/>
      </rPr>
      <t>0.041 J</t>
    </r>
  </si>
  <si>
    <r>
      <rPr>
        <sz val="11"/>
        <rFont val="Calibri"/>
        <family val="2"/>
      </rPr>
      <t>Valmonte-09-08-16</t>
    </r>
  </si>
  <si>
    <r>
      <rPr>
        <b/>
        <sz val="11"/>
        <rFont val="Calibri"/>
        <family val="2"/>
      </rPr>
      <t>0.049 J</t>
    </r>
  </si>
  <si>
    <r>
      <rPr>
        <b/>
        <sz val="11"/>
        <rFont val="Calibri"/>
        <family val="2"/>
      </rPr>
      <t>0.939 J</t>
    </r>
  </si>
  <si>
    <r>
      <rPr>
        <sz val="11"/>
        <rFont val="Calibri"/>
        <family val="2"/>
      </rPr>
      <t>October</t>
    </r>
  </si>
  <si>
    <r>
      <rPr>
        <sz val="11"/>
        <rFont val="Calibri"/>
        <family val="2"/>
      </rPr>
      <t>RHECH-10-06-16</t>
    </r>
  </si>
  <si>
    <r>
      <rPr>
        <b/>
        <sz val="11"/>
        <rFont val="Calibri"/>
        <family val="2"/>
      </rPr>
      <t>0.048 J</t>
    </r>
  </si>
  <si>
    <r>
      <rPr>
        <b/>
        <sz val="11"/>
        <rFont val="Calibri"/>
        <family val="2"/>
      </rPr>
      <t>0.488 J</t>
    </r>
  </si>
  <si>
    <r>
      <rPr>
        <sz val="11"/>
        <rFont val="Calibri"/>
        <family val="2"/>
      </rPr>
      <t>Valmonte-10-06-16</t>
    </r>
  </si>
  <si>
    <r>
      <rPr>
        <b/>
        <sz val="11"/>
        <rFont val="Calibri"/>
        <family val="2"/>
      </rPr>
      <t>0.058J</t>
    </r>
  </si>
  <si>
    <r>
      <rPr>
        <b/>
        <sz val="11"/>
        <rFont val="Calibri"/>
        <family val="2"/>
      </rPr>
      <t>0.768 J</t>
    </r>
  </si>
  <si>
    <r>
      <rPr>
        <sz val="11"/>
        <rFont val="Calibri"/>
        <family val="2"/>
      </rPr>
      <t>November</t>
    </r>
  </si>
  <si>
    <r>
      <rPr>
        <sz val="11"/>
        <rFont val="Calibri"/>
        <family val="2"/>
      </rPr>
      <t>RHECH-11-03-16</t>
    </r>
  </si>
  <si>
    <r>
      <rPr>
        <b/>
        <sz val="11"/>
        <rFont val="Calibri"/>
        <family val="2"/>
      </rPr>
      <t>0.074 J</t>
    </r>
  </si>
  <si>
    <r>
      <rPr>
        <b/>
        <sz val="11"/>
        <rFont val="Calibri"/>
        <family val="2"/>
      </rPr>
      <t>0.42 J</t>
    </r>
  </si>
  <si>
    <r>
      <rPr>
        <sz val="11"/>
        <rFont val="Calibri"/>
        <family val="2"/>
      </rPr>
      <t>VALMONTE-11-03-16</t>
    </r>
  </si>
  <si>
    <r>
      <rPr>
        <b/>
        <sz val="11"/>
        <rFont val="Calibri"/>
        <family val="2"/>
      </rPr>
      <t>0.091 J</t>
    </r>
  </si>
  <si>
    <r>
      <rPr>
        <b/>
        <sz val="11"/>
        <rFont val="Calibri"/>
        <family val="2"/>
      </rPr>
      <t>0.89 J</t>
    </r>
  </si>
  <si>
    <r>
      <rPr>
        <sz val="11"/>
        <rFont val="Calibri"/>
        <family val="2"/>
      </rPr>
      <t>RHECH-11-21-16</t>
    </r>
  </si>
  <si>
    <r>
      <rPr>
        <sz val="11"/>
        <rFont val="Calibri"/>
        <family val="2"/>
      </rPr>
      <t>RHECH100-11-21-16</t>
    </r>
  </si>
  <si>
    <r>
      <rPr>
        <sz val="11"/>
        <rFont val="Calibri"/>
        <family val="2"/>
      </rPr>
      <t>Valmonte-11-21-16</t>
    </r>
  </si>
  <si>
    <r>
      <rPr>
        <sz val="11"/>
        <rFont val="Calibri"/>
        <family val="2"/>
      </rPr>
      <t>Lariat-11-21-16</t>
    </r>
  </si>
  <si>
    <r>
      <rPr>
        <sz val="11"/>
        <rFont val="Calibri"/>
        <family val="2"/>
      </rPr>
      <t>Solano-11-21-16</t>
    </r>
  </si>
  <si>
    <r>
      <rPr>
        <sz val="11"/>
        <rFont val="Calibri"/>
        <family val="2"/>
      </rPr>
      <t>December</t>
    </r>
  </si>
  <si>
    <r>
      <rPr>
        <sz val="11"/>
        <rFont val="Calibri"/>
        <family val="2"/>
      </rPr>
      <t>RHECH-12-06-16</t>
    </r>
  </si>
  <si>
    <r>
      <rPr>
        <sz val="11"/>
        <rFont val="Calibri"/>
        <family val="2"/>
      </rPr>
      <t>VALMONTE-12-06-16</t>
    </r>
  </si>
  <si>
    <r>
      <rPr>
        <b/>
        <sz val="11"/>
        <rFont val="Calibri"/>
        <family val="2"/>
      </rPr>
      <t>0.083 J</t>
    </r>
  </si>
  <si>
    <r>
      <rPr>
        <sz val="11"/>
        <rFont val="Calibri"/>
        <family val="2"/>
      </rPr>
      <t>January</t>
    </r>
  </si>
  <si>
    <r>
      <rPr>
        <sz val="11"/>
        <rFont val="Calibri"/>
        <family val="2"/>
      </rPr>
      <t>RHECH-01-09-17</t>
    </r>
  </si>
  <si>
    <r>
      <rPr>
        <sz val="11"/>
        <rFont val="Calibri"/>
        <family val="2"/>
      </rPr>
      <t>Valmonte-01-09-17</t>
    </r>
  </si>
  <si>
    <r>
      <rPr>
        <sz val="11"/>
        <rFont val="Calibri"/>
        <family val="2"/>
      </rPr>
      <t>Lariat-01-09-17</t>
    </r>
  </si>
  <si>
    <r>
      <rPr>
        <sz val="11"/>
        <rFont val="Calibri"/>
        <family val="2"/>
      </rPr>
      <t>Solano-01-09-17</t>
    </r>
  </si>
  <si>
    <r>
      <rPr>
        <sz val="11"/>
        <rFont val="Calibri"/>
        <family val="2"/>
      </rPr>
      <t>RHECH-01-16-17</t>
    </r>
  </si>
  <si>
    <r>
      <rPr>
        <b/>
        <sz val="11"/>
        <rFont val="Calibri"/>
        <family val="2"/>
      </rPr>
      <t>0.071 J</t>
    </r>
  </si>
  <si>
    <r>
      <rPr>
        <b/>
        <sz val="11"/>
        <rFont val="Calibri"/>
        <family val="2"/>
      </rPr>
      <t>0.641 J</t>
    </r>
  </si>
  <si>
    <r>
      <rPr>
        <sz val="11"/>
        <rFont val="Calibri"/>
        <family val="2"/>
      </rPr>
      <t>VALMONTE-01-16-17</t>
    </r>
  </si>
  <si>
    <r>
      <rPr>
        <sz val="11"/>
        <rFont val="Calibri"/>
        <family val="2"/>
      </rPr>
      <t>RHECH-01-19-17</t>
    </r>
  </si>
  <si>
    <r>
      <rPr>
        <b/>
        <sz val="11"/>
        <rFont val="Calibri"/>
        <family val="2"/>
      </rPr>
      <t>0.41 J</t>
    </r>
  </si>
  <si>
    <r>
      <rPr>
        <sz val="11"/>
        <rFont val="Calibri"/>
        <family val="2"/>
      </rPr>
      <t>Valmonte-01-19-17</t>
    </r>
  </si>
  <si>
    <r>
      <rPr>
        <b/>
        <sz val="11"/>
        <rFont val="Calibri"/>
        <family val="2"/>
      </rPr>
      <t>0.98 J</t>
    </r>
  </si>
  <si>
    <r>
      <rPr>
        <sz val="11"/>
        <rFont val="Calibri"/>
        <family val="2"/>
      </rPr>
      <t>Lariat-01-19-17</t>
    </r>
  </si>
  <si>
    <r>
      <rPr>
        <sz val="11"/>
        <rFont val="Calibri"/>
        <family val="2"/>
      </rPr>
      <t>Solano-01-19-17</t>
    </r>
  </si>
  <si>
    <r>
      <rPr>
        <b/>
        <sz val="11"/>
        <rFont val="Calibri"/>
        <family val="2"/>
      </rPr>
      <t>0.47 J</t>
    </r>
  </si>
  <si>
    <r>
      <rPr>
        <sz val="11"/>
        <rFont val="Calibri"/>
        <family val="2"/>
      </rPr>
      <t>February</t>
    </r>
  </si>
  <si>
    <r>
      <rPr>
        <sz val="11"/>
        <rFont val="Calibri"/>
        <family val="2"/>
      </rPr>
      <t>RHECH-02-02-17</t>
    </r>
  </si>
  <si>
    <r>
      <rPr>
        <b/>
        <sz val="11"/>
        <rFont val="Calibri"/>
        <family val="2"/>
      </rPr>
      <t>0.92 J</t>
    </r>
  </si>
  <si>
    <r>
      <rPr>
        <b/>
        <sz val="11"/>
        <rFont val="Calibri"/>
        <family val="2"/>
      </rPr>
      <t>2.82 J</t>
    </r>
  </si>
  <si>
    <r>
      <rPr>
        <b/>
        <sz val="11"/>
        <rFont val="Calibri"/>
        <family val="2"/>
      </rPr>
      <t>0.034 J</t>
    </r>
  </si>
  <si>
    <r>
      <rPr>
        <sz val="11"/>
        <rFont val="Calibri"/>
        <family val="2"/>
      </rPr>
      <t>Valmonte-02-02-17</t>
    </r>
  </si>
  <si>
    <r>
      <rPr>
        <b/>
        <sz val="11"/>
        <rFont val="Calibri"/>
        <family val="2"/>
      </rPr>
      <t>1.1 J</t>
    </r>
  </si>
  <si>
    <r>
      <rPr>
        <b/>
        <sz val="11"/>
        <rFont val="Calibri"/>
        <family val="2"/>
      </rPr>
      <t>3.9 J</t>
    </r>
  </si>
  <si>
    <r>
      <rPr>
        <sz val="11"/>
        <rFont val="Calibri"/>
        <family val="2"/>
      </rPr>
      <t>March</t>
    </r>
  </si>
  <si>
    <r>
      <rPr>
        <sz val="11"/>
        <rFont val="Calibri"/>
        <family val="2"/>
      </rPr>
      <t>RHECH-03-03-17</t>
    </r>
  </si>
  <si>
    <r>
      <rPr>
        <sz val="11"/>
        <rFont val="Calibri"/>
        <family val="2"/>
      </rPr>
      <t>Valmonte-03-03-17</t>
    </r>
  </si>
  <si>
    <r>
      <rPr>
        <sz val="11"/>
        <rFont val="Calibri"/>
        <family val="2"/>
      </rPr>
      <t>RHECH-03-28-17</t>
    </r>
  </si>
  <si>
    <r>
      <rPr>
        <b/>
        <sz val="11"/>
        <rFont val="Calibri"/>
        <family val="2"/>
      </rPr>
      <t>1.4 J</t>
    </r>
  </si>
  <si>
    <r>
      <rPr>
        <b/>
        <sz val="11"/>
        <rFont val="Calibri"/>
        <family val="2"/>
      </rPr>
      <t>0.45 J</t>
    </r>
  </si>
  <si>
    <r>
      <rPr>
        <b/>
        <sz val="11"/>
        <rFont val="Calibri"/>
        <family val="2"/>
      </rPr>
      <t>1.85 J</t>
    </r>
  </si>
  <si>
    <r>
      <rPr>
        <sz val="11"/>
        <rFont val="Calibri"/>
        <family val="2"/>
      </rPr>
      <t>Valmonte-03-28-17</t>
    </r>
  </si>
  <si>
    <r>
      <rPr>
        <b/>
        <sz val="11"/>
        <rFont val="Calibri"/>
        <family val="2"/>
      </rPr>
      <t>0.71 J</t>
    </r>
  </si>
  <si>
    <r>
      <rPr>
        <sz val="10"/>
        <rFont val="Calibri"/>
        <family val="2"/>
      </rPr>
      <t>Notes:</t>
    </r>
  </si>
  <si>
    <r>
      <rPr>
        <sz val="10"/>
        <rFont val="Calibri"/>
        <family val="2"/>
      </rPr>
      <t>Detected concentration is greater than May 11, 2014, Interim WLA All non-detect results are reported at the method detection limit.</t>
    </r>
  </si>
  <si>
    <r>
      <rPr>
        <sz val="10"/>
        <rFont val="Calibri"/>
        <family val="2"/>
      </rPr>
      <t>No flow observations are equivalent to a zero result for total nitrogen and total phosphorus. Total nitrogen is the sum of nitrate, nitrite, and Kjeldahl nitrogen.</t>
    </r>
  </si>
  <si>
    <r>
      <rPr>
        <sz val="10"/>
        <rFont val="Calibri"/>
        <family val="2"/>
      </rPr>
      <t>mg/L = milligrams per liter</t>
    </r>
  </si>
  <si>
    <t>Table 2: Water Chemistry Results</t>
  </si>
  <si>
    <t xml:space="preserve">Month           </t>
  </si>
  <si>
    <t>Location ID</t>
  </si>
  <si>
    <t xml:space="preserve">Sample ID           </t>
  </si>
  <si>
    <t>Sample Date</t>
  </si>
  <si>
    <t>April</t>
  </si>
  <si>
    <t>RHE CITY HALL</t>
  </si>
  <si>
    <t>RHECH-04-07-17</t>
  </si>
  <si>
    <t>--</t>
  </si>
  <si>
    <t>0.02 U</t>
  </si>
  <si>
    <t>VALMONTE</t>
  </si>
  <si>
    <t>Valmonte-04-07-17</t>
  </si>
  <si>
    <t>LARIAT</t>
  </si>
  <si>
    <t>No flow</t>
  </si>
  <si>
    <t>SOLANO</t>
  </si>
  <si>
    <t>Solano-04-07-17</t>
  </si>
  <si>
    <t>May</t>
  </si>
  <si>
    <t>RHECH-05-04-17</t>
  </si>
  <si>
    <t>0.021 J</t>
  </si>
  <si>
    <t>Valmonte-05-04-17</t>
  </si>
  <si>
    <t>June</t>
  </si>
  <si>
    <t>RHECH-06-02-17</t>
  </si>
  <si>
    <t>Valmonte-06-02-17</t>
  </si>
  <si>
    <t>0.039 J</t>
  </si>
  <si>
    <t>0.789 J</t>
  </si>
  <si>
    <r>
      <t xml:space="preserve">U.S. Environmental Protection Agency Stage 2A data validation was completed by Anchor QEA. </t>
    </r>
    <r>
      <rPr>
        <b/>
        <sz val="10"/>
        <rFont val="Calibri"/>
        <family val="2"/>
      </rPr>
      <t>Bold = Detected result</t>
    </r>
  </si>
  <si>
    <t>WLA = waste load allocation</t>
  </si>
  <si>
    <t>Measured Flow (cfs)</t>
  </si>
  <si>
    <t>Average Flow per Location (cfs)</t>
  </si>
  <si>
    <t>0.020 UJ</t>
  </si>
  <si>
    <t>Nitrogen, total (calculated) (mg/L)
--</t>
  </si>
  <si>
    <t>Phosphorus, total (mg/L)
--</t>
  </si>
  <si>
    <t>Measured Flow (gpm)</t>
  </si>
  <si>
    <t>Analyte (units)</t>
  </si>
  <si>
    <t>No Flow</t>
  </si>
  <si>
    <t xml:space="preserve"> No Flow</t>
  </si>
  <si>
    <t>No Flow Data Available</t>
  </si>
  <si>
    <t>Monthly Flow-Weighted Average Nitrogen (mg/L)</t>
  </si>
  <si>
    <t>Flow-Weighted Avg of Total Phosphorous per Location (mg/L)</t>
  </si>
  <si>
    <t>Monthly Flow-Weighted Average Phosphorus (TP) (mg/L)</t>
  </si>
  <si>
    <t>Flow-Weighted Avg of Nitrogen Values per Location (mg/L)</t>
  </si>
  <si>
    <t>U = compound analyzed but not detected above detection limit, J = estimated value</t>
  </si>
  <si>
    <t>Above Machado Lake Nutrient TMDL Interim Effluent Limitation of 1.25 mg/L?</t>
  </si>
  <si>
    <t>Yes</t>
  </si>
  <si>
    <t>Above Machado Lake Nutrient TMDL Interim Effluent Limitation of 2.45 mg/L?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</si>
</sst>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m/dd/yyyy;@"/>
    <numFmt numFmtId="165" formatCode="###0.00;###0.00"/>
    <numFmt numFmtId="166" formatCode="###0.000;###0.000"/>
    <numFmt numFmtId="167" formatCode="###0.0;###0.0"/>
    <numFmt numFmtId="168" formatCode="d/m/yyyy;@"/>
    <numFmt numFmtId="169" formatCode="dd/m/yyyy;@"/>
    <numFmt numFmtId="170" formatCode="mm/dd/yyyy;@"/>
    <numFmt numFmtId="171" formatCode="###0;###0"/>
    <numFmt numFmtId="172" formatCode="0.000"/>
  </numFmts>
  <fonts count="17" x14ac:knownFonts="1">
    <font>
      <sz val="10"/>
      <color rgb="FF000000"/>
      <name val="Times New Roman"/>
      <charset val="204"/>
    </font>
    <font>
      <b/>
      <sz val="12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sz val="11"/>
      <color rgb="FF000000"/>
      <name val="Calibri"/>
      <family val="2"/>
    </font>
    <font>
      <b/>
      <sz val="11"/>
      <color rgb="FF000000"/>
      <name val="Calibri"/>
      <family val="2"/>
    </font>
    <font>
      <sz val="10"/>
      <name val="Calibri"/>
      <family val="2"/>
    </font>
    <font>
      <b/>
      <sz val="10"/>
      <name val="Calibri"/>
      <family val="2"/>
    </font>
    <font>
      <b/>
      <sz val="16"/>
      <name val="Calibri"/>
      <family val="2"/>
    </font>
    <font>
      <sz val="10"/>
      <name val="Tahoma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Tahoma"/>
      <family val="2"/>
    </font>
    <font>
      <b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7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rgb="FF000000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/>
      <right style="thin">
        <color rgb="FF000000"/>
      </right>
      <top style="thin">
        <color indexed="64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indexed="64"/>
      </left>
      <right style="thin">
        <color rgb="FF000000"/>
      </right>
      <top style="medium">
        <color indexed="64"/>
      </top>
      <bottom/>
      <diagonal/>
    </border>
    <border>
      <left style="thin">
        <color indexed="64"/>
      </left>
      <right style="thin">
        <color rgb="FF000000"/>
      </right>
      <top/>
      <bottom/>
      <diagonal/>
    </border>
    <border>
      <left style="thin">
        <color indexed="64"/>
      </left>
      <right style="thin">
        <color rgb="FF000000"/>
      </right>
      <top/>
      <bottom style="medium">
        <color indexed="64"/>
      </bottom>
      <diagonal/>
    </border>
    <border>
      <left style="thin">
        <color indexed="64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indexed="64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/>
      <top style="medium">
        <color indexed="64"/>
      </top>
      <bottom/>
      <diagonal/>
    </border>
    <border>
      <left/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/>
      <bottom/>
      <diagonal/>
    </border>
    <border>
      <left style="thin">
        <color rgb="FF000000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rgb="FF000000"/>
      </right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indexed="64"/>
      </right>
      <top/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/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/>
      <right style="thin">
        <color rgb="FF000000"/>
      </right>
      <top style="medium">
        <color indexed="64"/>
      </top>
      <bottom/>
      <diagonal/>
    </border>
    <border>
      <left style="medium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medium">
        <color indexed="64"/>
      </bottom>
      <diagonal/>
    </border>
  </borders>
  <cellStyleXfs count="7">
    <xf numFmtId="0" fontId="0" fillId="0" borderId="0"/>
    <xf numFmtId="0" fontId="9" fillId="0" borderId="0"/>
    <xf numFmtId="0" fontId="9" fillId="0" borderId="0" applyNumberFormat="0" applyBorder="0" applyAlignment="0"/>
    <xf numFmtId="0" fontId="9" fillId="0" borderId="0" applyBorder="0"/>
    <xf numFmtId="0" fontId="9" fillId="0" borderId="0" applyBorder="0"/>
    <xf numFmtId="0" fontId="15" fillId="0" borderId="0"/>
    <xf numFmtId="0" fontId="15" fillId="0" borderId="0"/>
  </cellStyleXfs>
  <cellXfs count="192">
    <xf numFmtId="0" fontId="0" fillId="0" borderId="0" xfId="0" applyFill="1" applyBorder="1" applyAlignment="1">
      <alignment horizontal="left" vertical="top"/>
    </xf>
    <xf numFmtId="0" fontId="0" fillId="0" borderId="0" xfId="0" applyFill="1" applyBorder="1" applyAlignment="1">
      <alignment horizontal="center" vertical="top"/>
    </xf>
    <xf numFmtId="0" fontId="6" fillId="0" borderId="0" xfId="0" applyFont="1" applyFill="1" applyBorder="1" applyAlignment="1">
      <alignment vertical="top"/>
    </xf>
    <xf numFmtId="0" fontId="1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left" vertical="center"/>
    </xf>
    <xf numFmtId="0" fontId="6" fillId="0" borderId="0" xfId="0" applyFont="1" applyFill="1" applyBorder="1" applyAlignment="1">
      <alignment vertical="center"/>
    </xf>
    <xf numFmtId="0" fontId="0" fillId="0" borderId="0" xfId="0" applyFill="1" applyBorder="1" applyAlignment="1">
      <alignment horizontal="center" vertical="center"/>
    </xf>
    <xf numFmtId="0" fontId="0" fillId="0" borderId="5" xfId="0" applyFill="1" applyBorder="1" applyAlignment="1">
      <alignment horizontal="center" vertical="top" wrapText="1"/>
    </xf>
    <xf numFmtId="0" fontId="0" fillId="0" borderId="0" xfId="0" applyFill="1" applyBorder="1" applyAlignment="1">
      <alignment horizontal="left" vertical="center"/>
    </xf>
    <xf numFmtId="0" fontId="10" fillId="2" borderId="42" xfId="2" applyNumberFormat="1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0" fillId="0" borderId="0" xfId="0" applyNumberFormat="1" applyFill="1" applyBorder="1" applyAlignment="1">
      <alignment horizontal="center" vertical="top"/>
    </xf>
    <xf numFmtId="0" fontId="6" fillId="0" borderId="0" xfId="0" applyNumberFormat="1" applyFont="1" applyFill="1" applyBorder="1" applyAlignment="1">
      <alignment vertical="top"/>
    </xf>
    <xf numFmtId="172" fontId="0" fillId="0" borderId="0" xfId="0" applyNumberFormat="1" applyFill="1" applyBorder="1" applyAlignment="1">
      <alignment horizontal="center" vertical="top"/>
    </xf>
    <xf numFmtId="172" fontId="10" fillId="2" borderId="42" xfId="2" applyNumberFormat="1" applyFont="1" applyFill="1" applyBorder="1" applyAlignment="1">
      <alignment horizontal="center" vertical="center" wrapText="1"/>
    </xf>
    <xf numFmtId="172" fontId="6" fillId="0" borderId="0" xfId="0" applyNumberFormat="1" applyFont="1" applyFill="1" applyBorder="1" applyAlignment="1">
      <alignment vertical="top"/>
    </xf>
    <xf numFmtId="0" fontId="2" fillId="0" borderId="23" xfId="0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center" vertical="center" wrapText="1"/>
    </xf>
    <xf numFmtId="0" fontId="2" fillId="0" borderId="65" xfId="0" applyFont="1" applyFill="1" applyBorder="1" applyAlignment="1">
      <alignment horizontal="center" vertical="center" wrapText="1"/>
    </xf>
    <xf numFmtId="172" fontId="10" fillId="2" borderId="40" xfId="2" applyNumberFormat="1" applyFont="1" applyFill="1" applyBorder="1" applyAlignment="1">
      <alignment horizontal="center" vertical="center" wrapText="1"/>
    </xf>
    <xf numFmtId="0" fontId="3" fillId="3" borderId="43" xfId="0" applyFont="1" applyFill="1" applyBorder="1" applyAlignment="1">
      <alignment horizontal="left" vertical="top" wrapText="1"/>
    </xf>
    <xf numFmtId="0" fontId="3" fillId="3" borderId="6" xfId="0" applyFont="1" applyFill="1" applyBorder="1" applyAlignment="1">
      <alignment horizontal="left" vertical="top" wrapText="1"/>
    </xf>
    <xf numFmtId="164" fontId="4" fillId="3" borderId="6" xfId="0" applyNumberFormat="1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top" wrapText="1"/>
    </xf>
    <xf numFmtId="0" fontId="2" fillId="3" borderId="6" xfId="0" applyFont="1" applyFill="1" applyBorder="1" applyAlignment="1">
      <alignment horizontal="center" vertical="top" wrapText="1"/>
    </xf>
    <xf numFmtId="0" fontId="2" fillId="3" borderId="60" xfId="0" applyFont="1" applyFill="1" applyBorder="1" applyAlignment="1">
      <alignment horizontal="center" vertical="top" wrapText="1"/>
    </xf>
    <xf numFmtId="0" fontId="11" fillId="3" borderId="20" xfId="0" applyNumberFormat="1" applyFont="1" applyFill="1" applyBorder="1" applyAlignment="1">
      <alignment horizontal="center" vertical="top" wrapText="1"/>
    </xf>
    <xf numFmtId="172" fontId="11" fillId="3" borderId="55" xfId="0" applyNumberFormat="1" applyFont="1" applyFill="1" applyBorder="1" applyAlignment="1">
      <alignment horizontal="center" vertical="top" wrapText="1"/>
    </xf>
    <xf numFmtId="172" fontId="11" fillId="3" borderId="25" xfId="0" applyNumberFormat="1" applyFont="1" applyFill="1" applyBorder="1" applyAlignment="1">
      <alignment horizontal="center" vertical="top" wrapText="1"/>
    </xf>
    <xf numFmtId="166" fontId="5" fillId="3" borderId="6" xfId="0" applyNumberFormat="1" applyFont="1" applyFill="1" applyBorder="1" applyAlignment="1">
      <alignment horizontal="center" vertical="top" wrapText="1"/>
    </xf>
    <xf numFmtId="166" fontId="12" fillId="3" borderId="5" xfId="0" applyNumberFormat="1" applyFont="1" applyFill="1" applyBorder="1" applyAlignment="1">
      <alignment horizontal="center" vertical="top" wrapText="1"/>
    </xf>
    <xf numFmtId="0" fontId="3" fillId="3" borderId="3" xfId="0" applyFont="1" applyFill="1" applyBorder="1" applyAlignment="1">
      <alignment horizontal="left" vertical="top" wrapText="1"/>
    </xf>
    <xf numFmtId="0" fontId="3" fillId="3" borderId="1" xfId="0" applyFont="1" applyFill="1" applyBorder="1" applyAlignment="1">
      <alignment horizontal="left" vertical="top" wrapText="1"/>
    </xf>
    <xf numFmtId="164" fontId="4" fillId="3" borderId="1" xfId="0" applyNumberFormat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top" wrapText="1"/>
    </xf>
    <xf numFmtId="0" fontId="2" fillId="3" borderId="1" xfId="0" applyFont="1" applyFill="1" applyBorder="1" applyAlignment="1">
      <alignment horizontal="center" vertical="top" wrapText="1"/>
    </xf>
    <xf numFmtId="0" fontId="2" fillId="3" borderId="58" xfId="0" applyFont="1" applyFill="1" applyBorder="1" applyAlignment="1">
      <alignment horizontal="center" vertical="top" wrapText="1"/>
    </xf>
    <xf numFmtId="0" fontId="11" fillId="3" borderId="23" xfId="0" applyNumberFormat="1" applyFont="1" applyFill="1" applyBorder="1" applyAlignment="1">
      <alignment horizontal="center" vertical="top" wrapText="1"/>
    </xf>
    <xf numFmtId="172" fontId="11" fillId="3" borderId="7" xfId="0" applyNumberFormat="1" applyFont="1" applyFill="1" applyBorder="1" applyAlignment="1">
      <alignment horizontal="center" vertical="top" wrapText="1"/>
    </xf>
    <xf numFmtId="167" fontId="5" fillId="3" borderId="58" xfId="0" applyNumberFormat="1" applyFont="1" applyFill="1" applyBorder="1" applyAlignment="1">
      <alignment horizontal="center" vertical="top" wrapText="1"/>
    </xf>
    <xf numFmtId="167" fontId="12" fillId="3" borderId="7" xfId="0" applyNumberFormat="1" applyFont="1" applyFill="1" applyBorder="1" applyAlignment="1">
      <alignment horizontal="center" vertical="top" wrapText="1"/>
    </xf>
    <xf numFmtId="0" fontId="3" fillId="3" borderId="58" xfId="0" applyFont="1" applyFill="1" applyBorder="1" applyAlignment="1">
      <alignment horizontal="center" vertical="top" wrapText="1"/>
    </xf>
    <xf numFmtId="172" fontId="11" fillId="3" borderId="23" xfId="0" applyNumberFormat="1" applyFont="1" applyFill="1" applyBorder="1" applyAlignment="1">
      <alignment horizontal="center" vertical="top" wrapText="1"/>
    </xf>
    <xf numFmtId="0" fontId="11" fillId="3" borderId="7" xfId="0" applyFont="1" applyFill="1" applyBorder="1" applyAlignment="1">
      <alignment horizontal="center" vertical="top" wrapText="1"/>
    </xf>
    <xf numFmtId="0" fontId="3" fillId="3" borderId="57" xfId="0" applyFont="1" applyFill="1" applyBorder="1" applyAlignment="1">
      <alignment horizontal="left" vertical="top" wrapText="1"/>
    </xf>
    <xf numFmtId="164" fontId="4" fillId="3" borderId="4" xfId="0" applyNumberFormat="1" applyFont="1" applyFill="1" applyBorder="1" applyAlignment="1">
      <alignment horizontal="center" vertical="center" wrapText="1"/>
    </xf>
    <xf numFmtId="0" fontId="2" fillId="3" borderId="59" xfId="0" applyFont="1" applyFill="1" applyBorder="1" applyAlignment="1">
      <alignment horizontal="center" vertical="top" wrapText="1"/>
    </xf>
    <xf numFmtId="0" fontId="13" fillId="3" borderId="19" xfId="0" applyNumberFormat="1" applyFont="1" applyFill="1" applyBorder="1" applyAlignment="1">
      <alignment horizontal="center" vertical="top"/>
    </xf>
    <xf numFmtId="172" fontId="11" fillId="3" borderId="19" xfId="0" applyNumberFormat="1" applyFont="1" applyFill="1" applyBorder="1" applyAlignment="1">
      <alignment horizontal="center" vertical="top" wrapText="1"/>
    </xf>
    <xf numFmtId="172" fontId="11" fillId="3" borderId="15" xfId="0" applyNumberFormat="1" applyFont="1" applyFill="1" applyBorder="1" applyAlignment="1">
      <alignment horizontal="center" vertical="top" wrapText="1"/>
    </xf>
    <xf numFmtId="165" fontId="5" fillId="3" borderId="61" xfId="0" applyNumberFormat="1" applyFont="1" applyFill="1" applyBorder="1" applyAlignment="1">
      <alignment horizontal="center" vertical="top" wrapText="1"/>
    </xf>
    <xf numFmtId="165" fontId="12" fillId="3" borderId="15" xfId="0" applyNumberFormat="1" applyFont="1" applyFill="1" applyBorder="1" applyAlignment="1">
      <alignment horizontal="center" vertical="top" wrapText="1"/>
    </xf>
    <xf numFmtId="0" fontId="3" fillId="3" borderId="0" xfId="0" applyFont="1" applyFill="1" applyBorder="1" applyAlignment="1">
      <alignment horizontal="left" vertical="top" wrapText="1"/>
    </xf>
    <xf numFmtId="0" fontId="3" fillId="3" borderId="2" xfId="0" applyFont="1" applyFill="1" applyBorder="1" applyAlignment="1">
      <alignment horizontal="left" vertical="top" wrapText="1"/>
    </xf>
    <xf numFmtId="168" fontId="4" fillId="3" borderId="29" xfId="0" applyNumberFormat="1" applyFont="1" applyFill="1" applyBorder="1" applyAlignment="1">
      <alignment horizontal="center" vertical="center" wrapText="1"/>
    </xf>
    <xf numFmtId="165" fontId="5" fillId="3" borderId="1" xfId="0" applyNumberFormat="1" applyFont="1" applyFill="1" applyBorder="1" applyAlignment="1">
      <alignment horizontal="center" vertical="top" wrapText="1"/>
    </xf>
    <xf numFmtId="0" fontId="2" fillId="3" borderId="41" xfId="0" applyFont="1" applyFill="1" applyBorder="1" applyAlignment="1">
      <alignment horizontal="center" vertical="top" wrapText="1"/>
    </xf>
    <xf numFmtId="172" fontId="11" fillId="3" borderId="14" xfId="0" applyNumberFormat="1" applyFont="1" applyFill="1" applyBorder="1" applyAlignment="1">
      <alignment horizontal="center" vertical="top" wrapText="1"/>
    </xf>
    <xf numFmtId="166" fontId="5" fillId="3" borderId="41" xfId="0" applyNumberFormat="1" applyFont="1" applyFill="1" applyBorder="1" applyAlignment="1">
      <alignment horizontal="center" vertical="top" wrapText="1"/>
    </xf>
    <xf numFmtId="166" fontId="12" fillId="3" borderId="25" xfId="0" applyNumberFormat="1" applyFont="1" applyFill="1" applyBorder="1" applyAlignment="1">
      <alignment horizontal="center" vertical="top" wrapText="1"/>
    </xf>
    <xf numFmtId="0" fontId="3" fillId="3" borderId="34" xfId="0" applyFont="1" applyFill="1" applyBorder="1" applyAlignment="1">
      <alignment horizontal="left" vertical="top" wrapText="1"/>
    </xf>
    <xf numFmtId="168" fontId="4" fillId="3" borderId="32" xfId="0" applyNumberFormat="1" applyFont="1" applyFill="1" applyBorder="1" applyAlignment="1">
      <alignment horizontal="center" vertical="center" wrapText="1"/>
    </xf>
    <xf numFmtId="165" fontId="5" fillId="3" borderId="58" xfId="0" applyNumberFormat="1" applyFont="1" applyFill="1" applyBorder="1" applyAlignment="1">
      <alignment horizontal="center" vertical="top" wrapText="1"/>
    </xf>
    <xf numFmtId="172" fontId="13" fillId="3" borderId="7" xfId="0" applyNumberFormat="1" applyFont="1" applyFill="1" applyBorder="1" applyAlignment="1">
      <alignment horizontal="center" vertical="top" wrapText="1"/>
    </xf>
    <xf numFmtId="165" fontId="12" fillId="3" borderId="7" xfId="0" applyNumberFormat="1" applyFont="1" applyFill="1" applyBorder="1" applyAlignment="1">
      <alignment horizontal="center" vertical="top" wrapText="1"/>
    </xf>
    <xf numFmtId="168" fontId="4" fillId="3" borderId="1" xfId="0" applyNumberFormat="1" applyFont="1" applyFill="1" applyBorder="1" applyAlignment="1">
      <alignment horizontal="center" vertical="center" wrapText="1"/>
    </xf>
    <xf numFmtId="0" fontId="3" fillId="3" borderId="49" xfId="0" applyFont="1" applyFill="1" applyBorder="1" applyAlignment="1">
      <alignment horizontal="left" vertical="top" wrapText="1"/>
    </xf>
    <xf numFmtId="0" fontId="3" fillId="3" borderId="36" xfId="0" applyFont="1" applyFill="1" applyBorder="1" applyAlignment="1">
      <alignment horizontal="left" vertical="top" wrapText="1"/>
    </xf>
    <xf numFmtId="168" fontId="4" fillId="3" borderId="36" xfId="0" applyNumberFormat="1" applyFont="1" applyFill="1" applyBorder="1" applyAlignment="1">
      <alignment horizontal="center" vertical="center" wrapText="1"/>
    </xf>
    <xf numFmtId="0" fontId="3" fillId="3" borderId="36" xfId="0" applyFont="1" applyFill="1" applyBorder="1" applyAlignment="1">
      <alignment horizontal="center" vertical="top" wrapText="1"/>
    </xf>
    <xf numFmtId="0" fontId="3" fillId="3" borderId="59" xfId="0" applyFont="1" applyFill="1" applyBorder="1" applyAlignment="1">
      <alignment horizontal="center" vertical="top" wrapText="1"/>
    </xf>
    <xf numFmtId="0" fontId="11" fillId="3" borderId="55" xfId="0" applyNumberFormat="1" applyFont="1" applyFill="1" applyBorder="1" applyAlignment="1">
      <alignment horizontal="center" vertical="top" wrapText="1"/>
    </xf>
    <xf numFmtId="0" fontId="11" fillId="3" borderId="19" xfId="0" applyFont="1" applyFill="1" applyBorder="1" applyAlignment="1">
      <alignment horizontal="center" vertical="top" wrapText="1"/>
    </xf>
    <xf numFmtId="0" fontId="3" fillId="3" borderId="35" xfId="0" applyFont="1" applyFill="1" applyBorder="1" applyAlignment="1">
      <alignment horizontal="left" vertical="top" wrapText="1"/>
    </xf>
    <xf numFmtId="168" fontId="4" fillId="3" borderId="6" xfId="0" applyNumberFormat="1" applyFont="1" applyFill="1" applyBorder="1" applyAlignment="1">
      <alignment horizontal="center" vertical="center" wrapText="1"/>
    </xf>
    <xf numFmtId="165" fontId="5" fillId="3" borderId="6" xfId="0" applyNumberFormat="1" applyFont="1" applyFill="1" applyBorder="1" applyAlignment="1">
      <alignment horizontal="center" vertical="top" wrapText="1"/>
    </xf>
    <xf numFmtId="0" fontId="11" fillId="3" borderId="25" xfId="0" applyNumberFormat="1" applyFont="1" applyFill="1" applyBorder="1" applyAlignment="1">
      <alignment horizontal="center" vertical="top" wrapText="1"/>
    </xf>
    <xf numFmtId="0" fontId="10" fillId="3" borderId="14" xfId="0" applyFont="1" applyFill="1" applyBorder="1" applyAlignment="1">
      <alignment horizontal="center" vertical="top" wrapText="1"/>
    </xf>
    <xf numFmtId="0" fontId="11" fillId="3" borderId="14" xfId="0" applyNumberFormat="1" applyFont="1" applyFill="1" applyBorder="1" applyAlignment="1">
      <alignment horizontal="center" vertical="top" wrapText="1"/>
    </xf>
    <xf numFmtId="0" fontId="11" fillId="3" borderId="19" xfId="0" applyNumberFormat="1" applyFont="1" applyFill="1" applyBorder="1" applyAlignment="1">
      <alignment horizontal="center" vertical="top" wrapText="1"/>
    </xf>
    <xf numFmtId="0" fontId="3" fillId="3" borderId="61" xfId="0" applyFont="1" applyFill="1" applyBorder="1" applyAlignment="1">
      <alignment horizontal="center" vertical="top" wrapText="1"/>
    </xf>
    <xf numFmtId="169" fontId="4" fillId="3" borderId="6" xfId="0" applyNumberFormat="1" applyFont="1" applyFill="1" applyBorder="1" applyAlignment="1">
      <alignment horizontal="center" vertical="center" wrapText="1"/>
    </xf>
    <xf numFmtId="0" fontId="11" fillId="3" borderId="0" xfId="0" applyNumberFormat="1" applyFont="1" applyFill="1" applyBorder="1" applyAlignment="1">
      <alignment horizontal="center" vertical="top" wrapText="1"/>
    </xf>
    <xf numFmtId="165" fontId="5" fillId="3" borderId="41" xfId="0" applyNumberFormat="1" applyFont="1" applyFill="1" applyBorder="1" applyAlignment="1">
      <alignment horizontal="center" vertical="top" wrapText="1"/>
    </xf>
    <xf numFmtId="165" fontId="12" fillId="3" borderId="14" xfId="0" applyNumberFormat="1" applyFont="1" applyFill="1" applyBorder="1" applyAlignment="1">
      <alignment horizontal="center" vertical="top" wrapText="1"/>
    </xf>
    <xf numFmtId="169" fontId="4" fillId="3" borderId="1" xfId="0" applyNumberFormat="1" applyFont="1" applyFill="1" applyBorder="1" applyAlignment="1">
      <alignment horizontal="center" vertical="center" wrapText="1"/>
    </xf>
    <xf numFmtId="0" fontId="11" fillId="3" borderId="15" xfId="0" applyNumberFormat="1" applyFont="1" applyFill="1" applyBorder="1" applyAlignment="1">
      <alignment horizontal="center" vertical="top" wrapText="1"/>
    </xf>
    <xf numFmtId="169" fontId="4" fillId="3" borderId="36" xfId="0" applyNumberFormat="1" applyFont="1" applyFill="1" applyBorder="1" applyAlignment="1">
      <alignment horizontal="center" vertical="center" wrapText="1"/>
    </xf>
    <xf numFmtId="165" fontId="5" fillId="3" borderId="31" xfId="0" applyNumberFormat="1" applyFont="1" applyFill="1" applyBorder="1" applyAlignment="1">
      <alignment horizontal="center" vertical="top" wrapText="1"/>
    </xf>
    <xf numFmtId="0" fontId="2" fillId="3" borderId="11" xfId="0" applyFont="1" applyFill="1" applyBorder="1" applyAlignment="1">
      <alignment horizontal="center" vertical="top" wrapText="1"/>
    </xf>
    <xf numFmtId="0" fontId="11" fillId="3" borderId="28" xfId="0" applyNumberFormat="1" applyFont="1" applyFill="1" applyBorder="1" applyAlignment="1">
      <alignment horizontal="center" vertical="top" wrapText="1"/>
    </xf>
    <xf numFmtId="166" fontId="5" fillId="3" borderId="60" xfId="0" applyNumberFormat="1" applyFont="1" applyFill="1" applyBorder="1" applyAlignment="1">
      <alignment horizontal="center" vertical="top" wrapText="1"/>
    </xf>
    <xf numFmtId="0" fontId="2" fillId="3" borderId="56" xfId="0" applyFont="1" applyFill="1" applyBorder="1" applyAlignment="1">
      <alignment horizontal="center" vertical="top" wrapText="1"/>
    </xf>
    <xf numFmtId="0" fontId="11" fillId="3" borderId="7" xfId="0" applyNumberFormat="1" applyFont="1" applyFill="1" applyBorder="1" applyAlignment="1">
      <alignment horizontal="center" vertical="top" wrapText="1"/>
    </xf>
    <xf numFmtId="170" fontId="4" fillId="3" borderId="1" xfId="0" applyNumberFormat="1" applyFont="1" applyFill="1" applyBorder="1" applyAlignment="1">
      <alignment horizontal="center" vertical="center" wrapText="1"/>
    </xf>
    <xf numFmtId="167" fontId="5" fillId="3" borderId="1" xfId="0" applyNumberFormat="1" applyFont="1" applyFill="1" applyBorder="1" applyAlignment="1">
      <alignment horizontal="center" vertical="top" wrapText="1"/>
    </xf>
    <xf numFmtId="0" fontId="13" fillId="3" borderId="15" xfId="0" applyNumberFormat="1" applyFont="1" applyFill="1" applyBorder="1" applyAlignment="1">
      <alignment horizontal="center" vertical="top" wrapText="1"/>
    </xf>
    <xf numFmtId="170" fontId="4" fillId="3" borderId="36" xfId="0" applyNumberFormat="1" applyFont="1" applyFill="1" applyBorder="1" applyAlignment="1">
      <alignment horizontal="center" vertical="center" wrapText="1"/>
    </xf>
    <xf numFmtId="167" fontId="5" fillId="3" borderId="36" xfId="0" applyNumberFormat="1" applyFont="1" applyFill="1" applyBorder="1" applyAlignment="1">
      <alignment horizontal="center" vertical="top" wrapText="1"/>
    </xf>
    <xf numFmtId="171" fontId="5" fillId="3" borderId="36" xfId="0" applyNumberFormat="1" applyFont="1" applyFill="1" applyBorder="1" applyAlignment="1">
      <alignment horizontal="center" vertical="top" wrapText="1"/>
    </xf>
    <xf numFmtId="167" fontId="5" fillId="3" borderId="59" xfId="0" applyNumberFormat="1" applyFont="1" applyFill="1" applyBorder="1" applyAlignment="1">
      <alignment horizontal="center" vertical="top" wrapText="1"/>
    </xf>
    <xf numFmtId="0" fontId="13" fillId="3" borderId="19" xfId="0" applyNumberFormat="1" applyFont="1" applyFill="1" applyBorder="1" applyAlignment="1">
      <alignment horizontal="center" vertical="top" wrapText="1"/>
    </xf>
    <xf numFmtId="172" fontId="13" fillId="3" borderId="19" xfId="0" applyNumberFormat="1" applyFont="1" applyFill="1" applyBorder="1" applyAlignment="1">
      <alignment horizontal="center" vertical="top" wrapText="1"/>
    </xf>
    <xf numFmtId="167" fontId="12" fillId="3" borderId="19" xfId="0" applyNumberFormat="1" applyFont="1" applyFill="1" applyBorder="1" applyAlignment="1">
      <alignment horizontal="center" vertical="top" wrapText="1"/>
    </xf>
    <xf numFmtId="165" fontId="5" fillId="3" borderId="60" xfId="0" applyNumberFormat="1" applyFont="1" applyFill="1" applyBorder="1" applyAlignment="1">
      <alignment horizontal="center" vertical="top" wrapText="1"/>
    </xf>
    <xf numFmtId="0" fontId="13" fillId="3" borderId="0" xfId="0" applyNumberFormat="1" applyFont="1" applyFill="1" applyBorder="1" applyAlignment="1">
      <alignment horizontal="center" vertical="top" wrapText="1"/>
    </xf>
    <xf numFmtId="172" fontId="11" fillId="3" borderId="20" xfId="0" applyNumberFormat="1" applyFont="1" applyFill="1" applyBorder="1" applyAlignment="1">
      <alignment horizontal="center" vertical="top" wrapText="1"/>
    </xf>
    <xf numFmtId="172" fontId="13" fillId="3" borderId="14" xfId="0" applyNumberFormat="1" applyFont="1" applyFill="1" applyBorder="1" applyAlignment="1">
      <alignment horizontal="center" vertical="top" wrapText="1"/>
    </xf>
    <xf numFmtId="0" fontId="13" fillId="3" borderId="25" xfId="0" applyNumberFormat="1" applyFont="1" applyFill="1" applyBorder="1" applyAlignment="1">
      <alignment horizontal="center" vertical="top" wrapText="1"/>
    </xf>
    <xf numFmtId="0" fontId="11" fillId="3" borderId="14" xfId="0" applyFont="1" applyFill="1" applyBorder="1" applyAlignment="1">
      <alignment horizontal="center" vertical="top" wrapText="1"/>
    </xf>
    <xf numFmtId="166" fontId="5" fillId="3" borderId="1" xfId="0" applyNumberFormat="1" applyFont="1" applyFill="1" applyBorder="1" applyAlignment="1">
      <alignment horizontal="center" vertical="top" wrapText="1"/>
    </xf>
    <xf numFmtId="0" fontId="10" fillId="3" borderId="7" xfId="0" applyFont="1" applyFill="1" applyBorder="1" applyAlignment="1">
      <alignment horizontal="center" vertical="top" wrapText="1"/>
    </xf>
    <xf numFmtId="167" fontId="5" fillId="3" borderId="6" xfId="0" applyNumberFormat="1" applyFont="1" applyFill="1" applyBorder="1" applyAlignment="1">
      <alignment horizontal="center" vertical="top" wrapText="1"/>
    </xf>
    <xf numFmtId="167" fontId="5" fillId="3" borderId="60" xfId="0" applyNumberFormat="1" applyFont="1" applyFill="1" applyBorder="1" applyAlignment="1">
      <alignment horizontal="center" vertical="top" wrapText="1"/>
    </xf>
    <xf numFmtId="0" fontId="13" fillId="3" borderId="7" xfId="0" applyNumberFormat="1" applyFont="1" applyFill="1" applyBorder="1" applyAlignment="1">
      <alignment horizontal="center" vertical="top" wrapText="1"/>
    </xf>
    <xf numFmtId="166" fontId="5" fillId="3" borderId="58" xfId="0" applyNumberFormat="1" applyFont="1" applyFill="1" applyBorder="1" applyAlignment="1">
      <alignment horizontal="center" vertical="top" wrapText="1"/>
    </xf>
    <xf numFmtId="166" fontId="12" fillId="3" borderId="7" xfId="0" applyNumberFormat="1" applyFont="1" applyFill="1" applyBorder="1" applyAlignment="1">
      <alignment horizontal="center" vertical="top" wrapText="1"/>
    </xf>
    <xf numFmtId="171" fontId="5" fillId="3" borderId="1" xfId="0" applyNumberFormat="1" applyFont="1" applyFill="1" applyBorder="1" applyAlignment="1">
      <alignment horizontal="center" vertical="top" wrapText="1"/>
    </xf>
    <xf numFmtId="0" fontId="3" fillId="3" borderId="8" xfId="0" applyFont="1" applyFill="1" applyBorder="1" applyAlignment="1">
      <alignment horizontal="left" vertical="top" wrapText="1"/>
    </xf>
    <xf numFmtId="0" fontId="3" fillId="3" borderId="4" xfId="0" applyFont="1" applyFill="1" applyBorder="1" applyAlignment="1">
      <alignment horizontal="left" vertical="top" wrapText="1"/>
    </xf>
    <xf numFmtId="0" fontId="3" fillId="3" borderId="62" xfId="0" applyFont="1" applyFill="1" applyBorder="1" applyAlignment="1">
      <alignment horizontal="center" vertical="top" wrapText="1"/>
    </xf>
    <xf numFmtId="0" fontId="3" fillId="3" borderId="64" xfId="0" applyFont="1" applyFill="1" applyBorder="1" applyAlignment="1">
      <alignment horizontal="left" vertical="top" wrapText="1"/>
    </xf>
    <xf numFmtId="0" fontId="3" fillId="3" borderId="53" xfId="0" applyFont="1" applyFill="1" applyBorder="1" applyAlignment="1">
      <alignment horizontal="left" vertical="top" wrapText="1"/>
    </xf>
    <xf numFmtId="164" fontId="4" fillId="3" borderId="54" xfId="0" applyNumberFormat="1" applyFont="1" applyFill="1" applyBorder="1" applyAlignment="1">
      <alignment horizontal="center" vertical="center" wrapText="1"/>
    </xf>
    <xf numFmtId="0" fontId="3" fillId="3" borderId="35" xfId="0" applyFont="1" applyFill="1" applyBorder="1" applyAlignment="1">
      <alignment horizontal="center" vertical="top" wrapText="1"/>
    </xf>
    <xf numFmtId="0" fontId="3" fillId="3" borderId="60" xfId="0" applyFont="1" applyFill="1" applyBorder="1" applyAlignment="1">
      <alignment horizontal="center" vertical="top" wrapText="1"/>
    </xf>
    <xf numFmtId="0" fontId="3" fillId="3" borderId="3" xfId="0" applyFont="1" applyFill="1" applyBorder="1" applyAlignment="1">
      <alignment horizontal="left" vertical="center" wrapText="1"/>
    </xf>
    <xf numFmtId="165" fontId="5" fillId="3" borderId="58" xfId="0" applyNumberFormat="1" applyFont="1" applyFill="1" applyBorder="1" applyAlignment="1">
      <alignment horizontal="center" vertical="center" wrapText="1"/>
    </xf>
    <xf numFmtId="0" fontId="2" fillId="3" borderId="58" xfId="0" applyFont="1" applyFill="1" applyBorder="1" applyAlignment="1">
      <alignment horizontal="center" vertical="center" wrapText="1"/>
    </xf>
    <xf numFmtId="164" fontId="4" fillId="3" borderId="36" xfId="0" applyNumberFormat="1" applyFont="1" applyFill="1" applyBorder="1" applyAlignment="1">
      <alignment horizontal="center" vertical="center" wrapText="1"/>
    </xf>
    <xf numFmtId="165" fontId="5" fillId="3" borderId="36" xfId="0" applyNumberFormat="1" applyFont="1" applyFill="1" applyBorder="1" applyAlignment="1">
      <alignment horizontal="center" vertical="top" wrapText="1"/>
    </xf>
    <xf numFmtId="165" fontId="5" fillId="3" borderId="59" xfId="0" applyNumberFormat="1" applyFont="1" applyFill="1" applyBorder="1" applyAlignment="1">
      <alignment horizontal="center" vertical="top" wrapText="1"/>
    </xf>
    <xf numFmtId="0" fontId="10" fillId="3" borderId="19" xfId="0" applyFont="1" applyFill="1" applyBorder="1" applyAlignment="1">
      <alignment horizontal="center" vertical="top" wrapText="1"/>
    </xf>
    <xf numFmtId="0" fontId="11" fillId="3" borderId="30" xfId="0" applyNumberFormat="1" applyFont="1" applyFill="1" applyBorder="1" applyAlignment="1">
      <alignment horizontal="center" vertical="top" wrapText="1"/>
    </xf>
    <xf numFmtId="0" fontId="11" fillId="3" borderId="21" xfId="0" applyNumberFormat="1" applyFont="1" applyFill="1" applyBorder="1" applyAlignment="1">
      <alignment horizontal="center" vertical="top" wrapText="1"/>
    </xf>
    <xf numFmtId="0" fontId="13" fillId="3" borderId="20" xfId="0" applyNumberFormat="1" applyFont="1" applyFill="1" applyBorder="1" applyAlignment="1">
      <alignment horizontal="center" vertical="top" wrapText="1"/>
    </xf>
    <xf numFmtId="0" fontId="13" fillId="3" borderId="26" xfId="0" applyNumberFormat="1" applyFont="1" applyFill="1" applyBorder="1" applyAlignment="1">
      <alignment horizontal="center" vertical="top" wrapText="1"/>
    </xf>
    <xf numFmtId="0" fontId="11" fillId="3" borderId="13" xfId="0" applyNumberFormat="1" applyFont="1" applyFill="1" applyBorder="1" applyAlignment="1">
      <alignment horizontal="center" vertical="top" wrapText="1"/>
    </xf>
    <xf numFmtId="0" fontId="13" fillId="3" borderId="55" xfId="0" applyNumberFormat="1" applyFont="1" applyFill="1" applyBorder="1" applyAlignment="1">
      <alignment horizontal="center" vertical="top" wrapText="1"/>
    </xf>
    <xf numFmtId="172" fontId="13" fillId="3" borderId="15" xfId="0" applyNumberFormat="1" applyFont="1" applyFill="1" applyBorder="1" applyAlignment="1">
      <alignment horizontal="center" vertical="top" wrapText="1"/>
    </xf>
    <xf numFmtId="172" fontId="13" fillId="3" borderId="25" xfId="0" applyNumberFormat="1" applyFont="1" applyFill="1" applyBorder="1" applyAlignment="1">
      <alignment horizontal="center" vertical="top" wrapText="1"/>
    </xf>
    <xf numFmtId="172" fontId="11" fillId="3" borderId="27" xfId="0" applyNumberFormat="1" applyFont="1" applyFill="1" applyBorder="1" applyAlignment="1">
      <alignment horizontal="center" vertical="top" wrapText="1"/>
    </xf>
    <xf numFmtId="0" fontId="2" fillId="3" borderId="36" xfId="0" applyFont="1" applyFill="1" applyBorder="1" applyAlignment="1">
      <alignment horizontal="center" vertical="top" wrapText="1"/>
    </xf>
    <xf numFmtId="0" fontId="11" fillId="3" borderId="18" xfId="0" applyNumberFormat="1" applyFont="1" applyFill="1" applyBorder="1" applyAlignment="1">
      <alignment horizontal="center" vertical="top" wrapText="1"/>
    </xf>
    <xf numFmtId="166" fontId="12" fillId="3" borderId="14" xfId="0" applyNumberFormat="1" applyFont="1" applyFill="1" applyBorder="1" applyAlignment="1">
      <alignment horizontal="center" vertical="top" wrapText="1"/>
    </xf>
    <xf numFmtId="172" fontId="11" fillId="3" borderId="21" xfId="0" applyNumberFormat="1" applyFont="1" applyFill="1" applyBorder="1" applyAlignment="1">
      <alignment horizontal="center" vertical="top" wrapText="1"/>
    </xf>
    <xf numFmtId="0" fontId="14" fillId="2" borderId="12" xfId="2" applyNumberFormat="1" applyFont="1" applyFill="1" applyBorder="1" applyAlignment="1">
      <alignment horizontal="center" vertical="center" wrapText="1"/>
    </xf>
    <xf numFmtId="0" fontId="14" fillId="2" borderId="66" xfId="2" applyNumberFormat="1" applyFont="1" applyFill="1" applyBorder="1" applyAlignment="1">
      <alignment horizontal="center" vertical="center" wrapText="1"/>
    </xf>
    <xf numFmtId="0" fontId="14" fillId="2" borderId="67" xfId="2" applyNumberFormat="1" applyFont="1" applyFill="1" applyBorder="1" applyAlignment="1">
      <alignment horizontal="center" vertical="center" wrapText="1"/>
    </xf>
    <xf numFmtId="0" fontId="12" fillId="2" borderId="5" xfId="0" applyFont="1" applyFill="1" applyBorder="1" applyAlignment="1">
      <alignment horizontal="center" vertical="center" wrapText="1"/>
    </xf>
    <xf numFmtId="0" fontId="2" fillId="2" borderId="33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left" vertical="center" wrapText="1"/>
    </xf>
    <xf numFmtId="0" fontId="3" fillId="3" borderId="1" xfId="0" applyFont="1" applyFill="1" applyBorder="1" applyAlignment="1">
      <alignment horizontal="center" vertical="center" wrapText="1"/>
    </xf>
    <xf numFmtId="165" fontId="5" fillId="3" borderId="1" xfId="0" applyNumberFormat="1" applyFont="1" applyFill="1" applyBorder="1" applyAlignment="1">
      <alignment horizontal="center" vertical="center" wrapText="1"/>
    </xf>
    <xf numFmtId="167" fontId="5" fillId="3" borderId="1" xfId="0" applyNumberFormat="1" applyFont="1" applyFill="1" applyBorder="1" applyAlignment="1">
      <alignment horizontal="center" vertical="center" wrapText="1"/>
    </xf>
    <xf numFmtId="0" fontId="13" fillId="3" borderId="15" xfId="0" applyNumberFormat="1" applyFont="1" applyFill="1" applyBorder="1" applyAlignment="1">
      <alignment horizontal="center" vertical="center" wrapText="1"/>
    </xf>
    <xf numFmtId="172" fontId="13" fillId="3" borderId="7" xfId="0" applyNumberFormat="1" applyFont="1" applyFill="1" applyBorder="1" applyAlignment="1">
      <alignment horizontal="center" vertical="center" wrapText="1"/>
    </xf>
    <xf numFmtId="0" fontId="10" fillId="3" borderId="7" xfId="0" applyFont="1" applyFill="1" applyBorder="1" applyAlignment="1">
      <alignment horizontal="center" vertical="center" wrapText="1"/>
    </xf>
    <xf numFmtId="0" fontId="3" fillId="3" borderId="22" xfId="0" applyFont="1" applyFill="1" applyBorder="1" applyAlignment="1">
      <alignment horizontal="center" vertical="center" wrapText="1"/>
    </xf>
    <xf numFmtId="0" fontId="3" fillId="3" borderId="16" xfId="0" applyFont="1" applyFill="1" applyBorder="1" applyAlignment="1">
      <alignment horizontal="center" vertical="center" wrapText="1"/>
    </xf>
    <xf numFmtId="0" fontId="3" fillId="3" borderId="24" xfId="0" applyFont="1" applyFill="1" applyBorder="1" applyAlignment="1">
      <alignment horizontal="center" vertical="center" wrapText="1"/>
    </xf>
    <xf numFmtId="165" fontId="5" fillId="3" borderId="37" xfId="0" applyNumberFormat="1" applyFont="1" applyFill="1" applyBorder="1" applyAlignment="1">
      <alignment horizontal="center" vertical="center" wrapText="1"/>
    </xf>
    <xf numFmtId="165" fontId="5" fillId="3" borderId="38" xfId="0" applyNumberFormat="1" applyFont="1" applyFill="1" applyBorder="1" applyAlignment="1">
      <alignment horizontal="center" vertical="center" wrapText="1"/>
    </xf>
    <xf numFmtId="165" fontId="5" fillId="3" borderId="39" xfId="0" applyNumberFormat="1" applyFont="1" applyFill="1" applyBorder="1" applyAlignment="1">
      <alignment horizontal="center" vertical="center" wrapText="1"/>
    </xf>
    <xf numFmtId="0" fontId="3" fillId="3" borderId="46" xfId="0" applyFont="1" applyFill="1" applyBorder="1" applyAlignment="1">
      <alignment horizontal="center" vertical="center" wrapText="1"/>
    </xf>
    <xf numFmtId="0" fontId="3" fillId="3" borderId="47" xfId="0" applyFont="1" applyFill="1" applyBorder="1" applyAlignment="1">
      <alignment horizontal="center" vertical="center" wrapText="1"/>
    </xf>
    <xf numFmtId="0" fontId="3" fillId="3" borderId="48" xfId="0" applyFont="1" applyFill="1" applyBorder="1" applyAlignment="1">
      <alignment horizontal="center" vertical="center" wrapText="1"/>
    </xf>
    <xf numFmtId="0" fontId="8" fillId="0" borderId="30" xfId="0" applyFont="1" applyFill="1" applyBorder="1" applyAlignment="1">
      <alignment horizontal="center" vertical="center"/>
    </xf>
    <xf numFmtId="0" fontId="2" fillId="0" borderId="44" xfId="0" applyFont="1" applyFill="1" applyBorder="1" applyAlignment="1">
      <alignment horizontal="center" vertical="center" wrapText="1"/>
    </xf>
    <xf numFmtId="0" fontId="2" fillId="0" borderId="28" xfId="0" applyFont="1" applyFill="1" applyBorder="1" applyAlignment="1">
      <alignment horizontal="center" vertical="center" wrapText="1"/>
    </xf>
    <xf numFmtId="0" fontId="2" fillId="0" borderId="63" xfId="0" applyFont="1" applyFill="1" applyBorder="1" applyAlignment="1">
      <alignment horizontal="center" vertical="center" wrapText="1"/>
    </xf>
    <xf numFmtId="0" fontId="3" fillId="3" borderId="51" xfId="0" applyFont="1" applyFill="1" applyBorder="1" applyAlignment="1">
      <alignment horizontal="center" vertical="center" wrapText="1"/>
    </xf>
    <xf numFmtId="0" fontId="3" fillId="3" borderId="50" xfId="0" applyFont="1" applyFill="1" applyBorder="1" applyAlignment="1">
      <alignment horizontal="center" vertical="center" wrapText="1"/>
    </xf>
    <xf numFmtId="0" fontId="3" fillId="3" borderId="0" xfId="0" applyFont="1" applyFill="1" applyBorder="1" applyAlignment="1">
      <alignment horizontal="center" vertical="center" wrapText="1"/>
    </xf>
    <xf numFmtId="0" fontId="3" fillId="3" borderId="52" xfId="0" applyFont="1" applyFill="1" applyBorder="1" applyAlignment="1">
      <alignment horizontal="center" vertical="center" wrapText="1"/>
    </xf>
    <xf numFmtId="0" fontId="0" fillId="0" borderId="9" xfId="0" applyFill="1" applyBorder="1" applyAlignment="1">
      <alignment horizontal="center" vertical="center" wrapText="1"/>
    </xf>
    <xf numFmtId="0" fontId="0" fillId="0" borderId="10" xfId="0" applyFill="1" applyBorder="1" applyAlignment="1">
      <alignment horizontal="center" vertical="center" wrapText="1"/>
    </xf>
    <xf numFmtId="0" fontId="0" fillId="0" borderId="45" xfId="0" applyFill="1" applyBorder="1" applyAlignment="1">
      <alignment horizontal="center" vertical="center" wrapText="1"/>
    </xf>
    <xf numFmtId="165" fontId="5" fillId="3" borderId="70" xfId="0" applyNumberFormat="1" applyFont="1" applyFill="1" applyBorder="1" applyAlignment="1">
      <alignment horizontal="center" vertical="center" wrapText="1"/>
    </xf>
    <xf numFmtId="165" fontId="5" fillId="3" borderId="0" xfId="0" applyNumberFormat="1" applyFont="1" applyFill="1" applyBorder="1" applyAlignment="1">
      <alignment horizontal="center" vertical="center" wrapText="1"/>
    </xf>
    <xf numFmtId="165" fontId="5" fillId="3" borderId="28" xfId="0" applyNumberFormat="1" applyFont="1" applyFill="1" applyBorder="1" applyAlignment="1">
      <alignment horizontal="center" vertical="center" wrapText="1"/>
    </xf>
    <xf numFmtId="165" fontId="5" fillId="3" borderId="30" xfId="0" applyNumberFormat="1" applyFont="1" applyFill="1" applyBorder="1" applyAlignment="1">
      <alignment horizontal="center" vertical="center" wrapText="1"/>
    </xf>
    <xf numFmtId="0" fontId="2" fillId="2" borderId="70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/>
    </xf>
    <xf numFmtId="0" fontId="0" fillId="0" borderId="30" xfId="0" applyFill="1" applyBorder="1" applyAlignment="1">
      <alignment horizontal="center" vertical="center" wrapText="1"/>
    </xf>
    <xf numFmtId="0" fontId="16" fillId="4" borderId="7" xfId="0" applyFont="1" applyFill="1" applyBorder="1" applyAlignment="1">
      <alignment horizontal="center" vertical="center" wrapText="1"/>
    </xf>
    <xf numFmtId="165" fontId="5" fillId="3" borderId="33" xfId="0" applyNumberFormat="1" applyFont="1" applyFill="1" applyBorder="1" applyAlignment="1">
      <alignment horizontal="center" vertical="center" wrapText="1"/>
    </xf>
    <xf numFmtId="165" fontId="5" fillId="3" borderId="5" xfId="0" applyNumberFormat="1" applyFont="1" applyFill="1" applyBorder="1" applyAlignment="1">
      <alignment horizontal="center" vertical="center" wrapText="1"/>
    </xf>
    <xf numFmtId="165" fontId="5" fillId="3" borderId="71" xfId="0" applyNumberFormat="1" applyFont="1" applyFill="1" applyBorder="1" applyAlignment="1">
      <alignment horizontal="center" vertical="center" wrapText="1"/>
    </xf>
    <xf numFmtId="165" fontId="5" fillId="3" borderId="69" xfId="0" applyNumberFormat="1" applyFont="1" applyFill="1" applyBorder="1" applyAlignment="1">
      <alignment horizontal="center" vertical="center" wrapText="1"/>
    </xf>
    <xf numFmtId="165" fontId="5" fillId="3" borderId="68" xfId="0" applyNumberFormat="1" applyFont="1" applyFill="1" applyBorder="1" applyAlignment="1">
      <alignment horizontal="center" vertical="center" wrapText="1"/>
    </xf>
    <xf numFmtId="165" fontId="5" fillId="3" borderId="7" xfId="0" applyNumberFormat="1" applyFont="1" applyFill="1" applyBorder="1" applyAlignment="1">
      <alignment horizontal="center" vertical="center" wrapText="1"/>
    </xf>
  </cellXfs>
  <cellStyles count="7">
    <cellStyle name="ColumnHeader" xfId="2"/>
    <cellStyle name="GroupColumn0" xfId="4"/>
    <cellStyle name="Normal" xfId="0" builtinId="0"/>
    <cellStyle name="Normal 2" xfId="1"/>
    <cellStyle name="Normal 3" xfId="5"/>
    <cellStyle name="Normal 8" xfId="6"/>
    <cellStyle name="RowHeader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7"/>
  <sheetViews>
    <sheetView tabSelected="1" topLeftCell="A13" zoomScaleNormal="100" workbookViewId="0">
      <selection activeCell="U35" sqref="U35:U46"/>
    </sheetView>
  </sheetViews>
  <sheetFormatPr defaultRowHeight="13" x14ac:dyDescent="0.3"/>
  <cols>
    <col min="1" max="1" width="14" style="6" customWidth="1"/>
    <col min="2" max="2" width="18.69921875" customWidth="1"/>
    <col min="3" max="3" width="23.296875" hidden="1" customWidth="1"/>
    <col min="4" max="4" width="29.19921875" style="1" customWidth="1"/>
    <col min="5" max="6" width="18.69921875" style="1" hidden="1" customWidth="1"/>
    <col min="7" max="7" width="19.796875" style="1" hidden="1" customWidth="1"/>
    <col min="8" max="8" width="17.19921875" style="1" hidden="1" customWidth="1"/>
    <col min="9" max="9" width="25.296875" style="1" customWidth="1"/>
    <col min="10" max="10" width="19.796875" style="11" customWidth="1"/>
    <col min="11" max="11" width="19.5" style="13" customWidth="1"/>
    <col min="12" max="12" width="25.69921875" style="13" customWidth="1"/>
    <col min="13" max="13" width="25.296875" style="13" customWidth="1"/>
    <col min="14" max="15" width="25.296875" style="6" customWidth="1"/>
    <col min="16" max="16" width="19.796875" style="1" customWidth="1"/>
    <col min="17" max="17" width="19.796875" style="11" customWidth="1"/>
    <col min="18" max="18" width="19.5" style="13" customWidth="1"/>
    <col min="19" max="19" width="27.69921875" style="1" bestFit="1" customWidth="1"/>
    <col min="20" max="20" width="19.796875" style="1" customWidth="1"/>
    <col min="21" max="21" width="25.5" style="6" customWidth="1"/>
    <col min="22" max="22" width="24.296875" customWidth="1"/>
  </cols>
  <sheetData>
    <row r="1" spans="1:22" ht="18" customHeight="1" x14ac:dyDescent="0.3">
      <c r="A1" s="3"/>
    </row>
    <row r="2" spans="1:22" ht="18" customHeight="1" thickBot="1" x14ac:dyDescent="0.35">
      <c r="A2" s="167" t="s">
        <v>93</v>
      </c>
      <c r="B2" s="167"/>
      <c r="C2" s="167"/>
      <c r="D2" s="167"/>
      <c r="E2" s="167"/>
      <c r="F2" s="167"/>
      <c r="G2" s="167"/>
      <c r="H2" s="167"/>
      <c r="I2" s="167"/>
      <c r="J2" s="167"/>
      <c r="K2" s="167"/>
      <c r="L2" s="167"/>
      <c r="M2" s="167"/>
      <c r="N2" s="167"/>
      <c r="O2" s="183"/>
      <c r="P2" s="167"/>
      <c r="Q2" s="167"/>
      <c r="R2" s="167"/>
      <c r="S2" s="167"/>
      <c r="T2" s="167"/>
      <c r="U2" s="167"/>
    </row>
    <row r="3" spans="1:22" ht="71.25" customHeight="1" thickBot="1" x14ac:dyDescent="0.35">
      <c r="A3" s="168" t="s">
        <v>126</v>
      </c>
      <c r="B3" s="169"/>
      <c r="C3" s="169"/>
      <c r="D3" s="170"/>
      <c r="E3" s="7" t="s">
        <v>0</v>
      </c>
      <c r="F3" s="7" t="s">
        <v>1</v>
      </c>
      <c r="G3" s="7" t="s">
        <v>2</v>
      </c>
      <c r="H3" s="7" t="s">
        <v>3</v>
      </c>
      <c r="I3" s="150" t="s">
        <v>123</v>
      </c>
      <c r="J3" s="9" t="s">
        <v>125</v>
      </c>
      <c r="K3" s="14" t="s">
        <v>120</v>
      </c>
      <c r="L3" s="146" t="s">
        <v>133</v>
      </c>
      <c r="M3" s="19" t="s">
        <v>121</v>
      </c>
      <c r="N3" s="146" t="s">
        <v>130</v>
      </c>
      <c r="O3" s="185" t="s">
        <v>137</v>
      </c>
      <c r="P3" s="182" t="s">
        <v>124</v>
      </c>
      <c r="Q3" s="9" t="s">
        <v>125</v>
      </c>
      <c r="R3" s="14" t="s">
        <v>120</v>
      </c>
      <c r="S3" s="147" t="s">
        <v>131</v>
      </c>
      <c r="T3" s="149" t="s">
        <v>121</v>
      </c>
      <c r="U3" s="148" t="s">
        <v>132</v>
      </c>
      <c r="V3" s="185" t="s">
        <v>135</v>
      </c>
    </row>
    <row r="4" spans="1:22" s="8" customFormat="1" ht="16.5" customHeight="1" thickBot="1" x14ac:dyDescent="0.35">
      <c r="A4" s="10" t="s">
        <v>94</v>
      </c>
      <c r="B4" s="17" t="s">
        <v>95</v>
      </c>
      <c r="C4" s="16" t="s">
        <v>96</v>
      </c>
      <c r="D4" s="18" t="s">
        <v>97</v>
      </c>
      <c r="E4" s="175"/>
      <c r="F4" s="176"/>
      <c r="G4" s="176"/>
      <c r="H4" s="176"/>
      <c r="I4" s="176"/>
      <c r="J4" s="176"/>
      <c r="K4" s="176"/>
      <c r="L4" s="176"/>
      <c r="M4" s="176"/>
      <c r="N4" s="176"/>
      <c r="O4" s="184"/>
      <c r="P4" s="176"/>
      <c r="Q4" s="176"/>
      <c r="R4" s="176"/>
      <c r="S4" s="176"/>
      <c r="T4" s="176"/>
      <c r="U4" s="177"/>
    </row>
    <row r="5" spans="1:22" ht="13" customHeight="1" x14ac:dyDescent="0.3">
      <c r="A5" s="164" t="s">
        <v>4</v>
      </c>
      <c r="B5" s="20" t="s">
        <v>5</v>
      </c>
      <c r="C5" s="21" t="s">
        <v>6</v>
      </c>
      <c r="D5" s="22">
        <v>42571</v>
      </c>
      <c r="E5" s="23" t="s">
        <v>7</v>
      </c>
      <c r="F5" s="23" t="s">
        <v>8</v>
      </c>
      <c r="G5" s="24" t="s">
        <v>9</v>
      </c>
      <c r="H5" s="24" t="s">
        <v>10</v>
      </c>
      <c r="I5" s="25" t="s">
        <v>10</v>
      </c>
      <c r="J5" s="26">
        <v>17.95</v>
      </c>
      <c r="K5" s="27">
        <f>J5*0.0022280093</f>
        <v>3.9992766935E-2</v>
      </c>
      <c r="L5" s="28"/>
      <c r="M5" s="28"/>
      <c r="N5" s="162">
        <f>((0.82*K5)+(2.6*K6)+(0.66*K9))/(K5+K6+K9)</f>
        <v>0.88844440043568662</v>
      </c>
      <c r="O5" s="178"/>
      <c r="P5" s="29">
        <v>6.2E-2</v>
      </c>
      <c r="Q5" s="26">
        <v>17.95</v>
      </c>
      <c r="R5" s="27">
        <f>Q5*0.0022280093</f>
        <v>3.9992766935E-2</v>
      </c>
      <c r="S5" s="30"/>
      <c r="T5" s="30"/>
      <c r="U5" s="189">
        <f>((P5*R5)+(P6*R6)+(P9*R9))/(R5+R6+R9)</f>
        <v>0.3357510644618279</v>
      </c>
      <c r="V5" s="191"/>
    </row>
    <row r="6" spans="1:22" ht="14.15" customHeight="1" x14ac:dyDescent="0.3">
      <c r="A6" s="165"/>
      <c r="B6" s="31" t="s">
        <v>11</v>
      </c>
      <c r="C6" s="32" t="s">
        <v>12</v>
      </c>
      <c r="D6" s="33">
        <v>42571</v>
      </c>
      <c r="E6" s="34" t="s">
        <v>7</v>
      </c>
      <c r="F6" s="34" t="s">
        <v>8</v>
      </c>
      <c r="G6" s="35" t="s">
        <v>9</v>
      </c>
      <c r="H6" s="35" t="s">
        <v>13</v>
      </c>
      <c r="I6" s="36" t="s">
        <v>13</v>
      </c>
      <c r="J6" s="37">
        <v>0.89800000000000002</v>
      </c>
      <c r="K6" s="27">
        <f>J6*0.0022280093</f>
        <v>2.0007523514E-3</v>
      </c>
      <c r="L6" s="38"/>
      <c r="M6" s="38"/>
      <c r="N6" s="162"/>
      <c r="O6" s="179"/>
      <c r="P6" s="39">
        <v>5.2</v>
      </c>
      <c r="Q6" s="37">
        <v>0.89800000000000002</v>
      </c>
      <c r="R6" s="27">
        <f>Q6*0.0022280093</f>
        <v>2.0007523514E-3</v>
      </c>
      <c r="S6" s="40"/>
      <c r="T6" s="40"/>
      <c r="U6" s="189"/>
      <c r="V6" s="191"/>
    </row>
    <row r="7" spans="1:22" ht="14.15" customHeight="1" x14ac:dyDescent="0.3">
      <c r="A7" s="165"/>
      <c r="B7" s="31" t="s">
        <v>14</v>
      </c>
      <c r="C7" s="32" t="s">
        <v>15</v>
      </c>
      <c r="D7" s="33">
        <v>42571</v>
      </c>
      <c r="E7" s="34" t="s">
        <v>16</v>
      </c>
      <c r="F7" s="34" t="s">
        <v>16</v>
      </c>
      <c r="G7" s="34" t="s">
        <v>16</v>
      </c>
      <c r="H7" s="34" t="s">
        <v>16</v>
      </c>
      <c r="I7" s="41" t="s">
        <v>16</v>
      </c>
      <c r="J7" s="37" t="s">
        <v>127</v>
      </c>
      <c r="K7" s="42" t="s">
        <v>127</v>
      </c>
      <c r="L7" s="38"/>
      <c r="M7" s="38"/>
      <c r="N7" s="162"/>
      <c r="O7" s="179"/>
      <c r="P7" s="41" t="s">
        <v>16</v>
      </c>
      <c r="Q7" s="37" t="s">
        <v>127</v>
      </c>
      <c r="R7" s="42" t="s">
        <v>127</v>
      </c>
      <c r="S7" s="43"/>
      <c r="T7" s="43"/>
      <c r="U7" s="189"/>
      <c r="V7" s="191"/>
    </row>
    <row r="8" spans="1:22" ht="14.15" customHeight="1" x14ac:dyDescent="0.3">
      <c r="A8" s="165"/>
      <c r="B8" s="31" t="s">
        <v>17</v>
      </c>
      <c r="C8" s="32" t="s">
        <v>15</v>
      </c>
      <c r="D8" s="33">
        <v>42571</v>
      </c>
      <c r="E8" s="34" t="s">
        <v>16</v>
      </c>
      <c r="F8" s="34" t="s">
        <v>16</v>
      </c>
      <c r="G8" s="34" t="s">
        <v>16</v>
      </c>
      <c r="H8" s="34" t="s">
        <v>16</v>
      </c>
      <c r="I8" s="41" t="s">
        <v>16</v>
      </c>
      <c r="J8" s="37" t="s">
        <v>127</v>
      </c>
      <c r="K8" s="42" t="s">
        <v>127</v>
      </c>
      <c r="L8" s="38"/>
      <c r="M8" s="38"/>
      <c r="N8" s="162"/>
      <c r="O8" s="179"/>
      <c r="P8" s="41" t="s">
        <v>16</v>
      </c>
      <c r="Q8" s="37" t="s">
        <v>127</v>
      </c>
      <c r="R8" s="42" t="s">
        <v>127</v>
      </c>
      <c r="S8" s="43"/>
      <c r="T8" s="43"/>
      <c r="U8" s="189"/>
      <c r="V8" s="191"/>
    </row>
    <row r="9" spans="1:22" ht="14.15" customHeight="1" thickBot="1" x14ac:dyDescent="0.35">
      <c r="A9" s="166"/>
      <c r="B9" s="44" t="s">
        <v>11</v>
      </c>
      <c r="C9" s="32" t="s">
        <v>18</v>
      </c>
      <c r="D9" s="45">
        <v>42580</v>
      </c>
      <c r="E9" s="34" t="s">
        <v>7</v>
      </c>
      <c r="F9" s="34" t="s">
        <v>8</v>
      </c>
      <c r="G9" s="34" t="s">
        <v>16</v>
      </c>
      <c r="H9" s="35" t="s">
        <v>19</v>
      </c>
      <c r="I9" s="46" t="s">
        <v>19</v>
      </c>
      <c r="J9" s="47">
        <v>1.35</v>
      </c>
      <c r="K9" s="27">
        <f>J9*0.0022280093</f>
        <v>3.0078125550000003E-3</v>
      </c>
      <c r="L9" s="48"/>
      <c r="M9" s="49"/>
      <c r="N9" s="163"/>
      <c r="O9" s="179"/>
      <c r="P9" s="50">
        <v>0.74</v>
      </c>
      <c r="Q9" s="47">
        <v>1.35</v>
      </c>
      <c r="R9" s="27">
        <f>Q9*0.0022280093</f>
        <v>3.0078125550000003E-3</v>
      </c>
      <c r="S9" s="51"/>
      <c r="T9" s="51"/>
      <c r="U9" s="190"/>
      <c r="V9" s="191"/>
    </row>
    <row r="10" spans="1:22" ht="13" customHeight="1" x14ac:dyDescent="0.3">
      <c r="A10" s="164" t="s">
        <v>20</v>
      </c>
      <c r="B10" s="52" t="s">
        <v>5</v>
      </c>
      <c r="C10" s="53" t="s">
        <v>21</v>
      </c>
      <c r="D10" s="54">
        <v>42468</v>
      </c>
      <c r="E10" s="34" t="s">
        <v>16</v>
      </c>
      <c r="F10" s="34" t="s">
        <v>16</v>
      </c>
      <c r="G10" s="35" t="s">
        <v>22</v>
      </c>
      <c r="H10" s="55">
        <v>0.48</v>
      </c>
      <c r="I10" s="56" t="s">
        <v>23</v>
      </c>
      <c r="J10" s="26">
        <v>24.67</v>
      </c>
      <c r="K10" s="28">
        <f t="shared" ref="K10:K68" si="0">J10*0.0022280093</f>
        <v>5.4964989431000005E-2</v>
      </c>
      <c r="L10" s="57"/>
      <c r="M10" s="28"/>
      <c r="N10" s="161">
        <f>((0.562*K10)+(I11*K11))/(K10+K11)</f>
        <v>0.57656580053356721</v>
      </c>
      <c r="O10" s="180"/>
      <c r="P10" s="58">
        <v>2.3E-2</v>
      </c>
      <c r="Q10" s="26">
        <v>24.67</v>
      </c>
      <c r="R10" s="28">
        <f t="shared" ref="R10:R68" si="1">Q10*0.0022280093</f>
        <v>5.4964989431000005E-2</v>
      </c>
      <c r="S10" s="59"/>
      <c r="T10" s="59"/>
      <c r="U10" s="161">
        <f>((P10*R10)+(P11*R11))/(R10+R11)</f>
        <v>7.0929357161129997E-2</v>
      </c>
      <c r="V10" s="162"/>
    </row>
    <row r="11" spans="1:22" ht="14.15" customHeight="1" x14ac:dyDescent="0.3">
      <c r="A11" s="165"/>
      <c r="B11" s="60" t="s">
        <v>11</v>
      </c>
      <c r="C11" s="32" t="s">
        <v>24</v>
      </c>
      <c r="D11" s="61">
        <v>42468</v>
      </c>
      <c r="E11" s="34" t="s">
        <v>16</v>
      </c>
      <c r="F11" s="34" t="s">
        <v>16</v>
      </c>
      <c r="G11" s="55">
        <v>0.13</v>
      </c>
      <c r="H11" s="55">
        <v>0.57999999999999996</v>
      </c>
      <c r="I11" s="62">
        <v>0.71</v>
      </c>
      <c r="J11" s="37">
        <v>2.6930000000000001</v>
      </c>
      <c r="K11" s="27">
        <f t="shared" si="0"/>
        <v>6.0000290449E-3</v>
      </c>
      <c r="L11" s="63"/>
      <c r="M11" s="63"/>
      <c r="N11" s="162"/>
      <c r="O11" s="179"/>
      <c r="P11" s="62">
        <v>0.51</v>
      </c>
      <c r="Q11" s="37">
        <v>2.6930000000000001</v>
      </c>
      <c r="R11" s="27">
        <f t="shared" si="1"/>
        <v>6.0000290449E-3</v>
      </c>
      <c r="S11" s="64"/>
      <c r="T11" s="64"/>
      <c r="U11" s="162"/>
      <c r="V11" s="162"/>
    </row>
    <row r="12" spans="1:22" ht="14.15" customHeight="1" x14ac:dyDescent="0.3">
      <c r="A12" s="165"/>
      <c r="B12" s="31" t="s">
        <v>14</v>
      </c>
      <c r="C12" s="32" t="s">
        <v>15</v>
      </c>
      <c r="D12" s="65">
        <v>42468</v>
      </c>
      <c r="E12" s="34" t="s">
        <v>16</v>
      </c>
      <c r="F12" s="34" t="s">
        <v>16</v>
      </c>
      <c r="G12" s="34" t="s">
        <v>16</v>
      </c>
      <c r="H12" s="34" t="s">
        <v>16</v>
      </c>
      <c r="I12" s="41" t="s">
        <v>16</v>
      </c>
      <c r="J12" s="37" t="s">
        <v>127</v>
      </c>
      <c r="K12" s="37" t="s">
        <v>127</v>
      </c>
      <c r="L12" s="38"/>
      <c r="M12" s="38"/>
      <c r="N12" s="162"/>
      <c r="O12" s="179"/>
      <c r="P12" s="41" t="s">
        <v>16</v>
      </c>
      <c r="Q12" s="37" t="s">
        <v>127</v>
      </c>
      <c r="R12" s="37" t="s">
        <v>127</v>
      </c>
      <c r="S12" s="43"/>
      <c r="T12" s="43"/>
      <c r="U12" s="162"/>
      <c r="V12" s="162"/>
    </row>
    <row r="13" spans="1:22" ht="14.15" customHeight="1" thickBot="1" x14ac:dyDescent="0.35">
      <c r="A13" s="166"/>
      <c r="B13" s="66" t="s">
        <v>17</v>
      </c>
      <c r="C13" s="67" t="s">
        <v>15</v>
      </c>
      <c r="D13" s="68">
        <v>42468</v>
      </c>
      <c r="E13" s="69" t="s">
        <v>16</v>
      </c>
      <c r="F13" s="69" t="s">
        <v>16</v>
      </c>
      <c r="G13" s="69" t="s">
        <v>16</v>
      </c>
      <c r="H13" s="69" t="s">
        <v>16</v>
      </c>
      <c r="I13" s="70" t="s">
        <v>16</v>
      </c>
      <c r="J13" s="71" t="s">
        <v>127</v>
      </c>
      <c r="K13" s="71" t="s">
        <v>127</v>
      </c>
      <c r="L13" s="48"/>
      <c r="M13" s="48"/>
      <c r="N13" s="163"/>
      <c r="O13" s="181"/>
      <c r="P13" s="70" t="s">
        <v>16</v>
      </c>
      <c r="Q13" s="71" t="s">
        <v>127</v>
      </c>
      <c r="R13" s="71" t="s">
        <v>127</v>
      </c>
      <c r="S13" s="72"/>
      <c r="T13" s="72"/>
      <c r="U13" s="163"/>
      <c r="V13" s="163"/>
    </row>
    <row r="14" spans="1:22" ht="13" customHeight="1" x14ac:dyDescent="0.3">
      <c r="A14" s="164" t="s">
        <v>25</v>
      </c>
      <c r="B14" s="73" t="s">
        <v>5</v>
      </c>
      <c r="C14" s="21" t="s">
        <v>26</v>
      </c>
      <c r="D14" s="74">
        <v>42591</v>
      </c>
      <c r="E14" s="23" t="s">
        <v>16</v>
      </c>
      <c r="F14" s="23" t="s">
        <v>16</v>
      </c>
      <c r="G14" s="24" t="s">
        <v>27</v>
      </c>
      <c r="H14" s="75">
        <v>0.53</v>
      </c>
      <c r="I14" s="25" t="s">
        <v>28</v>
      </c>
      <c r="J14" s="76">
        <v>28.75</v>
      </c>
      <c r="K14" s="28">
        <f t="shared" si="0"/>
        <v>6.4055267375000002E-2</v>
      </c>
      <c r="L14" s="57"/>
      <c r="M14" s="57"/>
      <c r="N14" s="161">
        <f>((0.593*K14)+(0.939*K15))/(K14+K15)</f>
        <v>0.62708792173585848</v>
      </c>
      <c r="O14" s="179"/>
      <c r="P14" s="25" t="s">
        <v>29</v>
      </c>
      <c r="Q14" s="76">
        <v>28.75</v>
      </c>
      <c r="R14" s="28">
        <f t="shared" si="1"/>
        <v>6.4055267375000002E-2</v>
      </c>
      <c r="S14" s="77"/>
      <c r="T14" s="77"/>
      <c r="U14" s="161">
        <f>((0.041*R14)+(P15*R15))/(R14+R15)</f>
        <v>9.902828295497304E-2</v>
      </c>
      <c r="V14" s="161"/>
    </row>
    <row r="15" spans="1:22" ht="14.15" customHeight="1" x14ac:dyDescent="0.3">
      <c r="A15" s="165"/>
      <c r="B15" s="31" t="s">
        <v>11</v>
      </c>
      <c r="C15" s="32" t="s">
        <v>30</v>
      </c>
      <c r="D15" s="65">
        <v>42591</v>
      </c>
      <c r="E15" s="34" t="s">
        <v>16</v>
      </c>
      <c r="F15" s="34" t="s">
        <v>16</v>
      </c>
      <c r="G15" s="35" t="s">
        <v>31</v>
      </c>
      <c r="H15" s="55">
        <v>0.89</v>
      </c>
      <c r="I15" s="36" t="s">
        <v>32</v>
      </c>
      <c r="J15" s="78">
        <v>3.1419999999999999</v>
      </c>
      <c r="K15" s="27">
        <f t="shared" si="0"/>
        <v>7.0004052206000004E-3</v>
      </c>
      <c r="L15" s="38"/>
      <c r="M15" s="38"/>
      <c r="N15" s="162"/>
      <c r="O15" s="179"/>
      <c r="P15" s="62">
        <v>0.63</v>
      </c>
      <c r="Q15" s="78">
        <v>3.1419999999999999</v>
      </c>
      <c r="R15" s="27">
        <f t="shared" si="1"/>
        <v>7.0004052206000004E-3</v>
      </c>
      <c r="S15" s="64"/>
      <c r="T15" s="64"/>
      <c r="U15" s="162"/>
      <c r="V15" s="162"/>
    </row>
    <row r="16" spans="1:22" ht="14.15" customHeight="1" x14ac:dyDescent="0.3">
      <c r="A16" s="165"/>
      <c r="B16" s="31" t="s">
        <v>14</v>
      </c>
      <c r="C16" s="32" t="s">
        <v>15</v>
      </c>
      <c r="D16" s="65">
        <v>42591</v>
      </c>
      <c r="E16" s="34" t="s">
        <v>16</v>
      </c>
      <c r="F16" s="34" t="s">
        <v>16</v>
      </c>
      <c r="G16" s="34" t="s">
        <v>16</v>
      </c>
      <c r="H16" s="34" t="s">
        <v>16</v>
      </c>
      <c r="I16" s="41" t="s">
        <v>16</v>
      </c>
      <c r="J16" s="37" t="s">
        <v>127</v>
      </c>
      <c r="K16" s="37" t="s">
        <v>127</v>
      </c>
      <c r="L16" s="38"/>
      <c r="M16" s="38"/>
      <c r="N16" s="162"/>
      <c r="O16" s="179"/>
      <c r="P16" s="41" t="s">
        <v>16</v>
      </c>
      <c r="Q16" s="37" t="s">
        <v>127</v>
      </c>
      <c r="R16" s="37" t="s">
        <v>127</v>
      </c>
      <c r="S16" s="43"/>
      <c r="T16" s="43"/>
      <c r="U16" s="162"/>
      <c r="V16" s="162"/>
    </row>
    <row r="17" spans="1:22" ht="14.15" customHeight="1" thickBot="1" x14ac:dyDescent="0.35">
      <c r="A17" s="166"/>
      <c r="B17" s="66" t="s">
        <v>17</v>
      </c>
      <c r="C17" s="67" t="s">
        <v>15</v>
      </c>
      <c r="D17" s="68">
        <v>42591</v>
      </c>
      <c r="E17" s="69" t="s">
        <v>16</v>
      </c>
      <c r="F17" s="69" t="s">
        <v>16</v>
      </c>
      <c r="G17" s="69" t="s">
        <v>16</v>
      </c>
      <c r="H17" s="69" t="s">
        <v>16</v>
      </c>
      <c r="I17" s="70" t="s">
        <v>16</v>
      </c>
      <c r="J17" s="79" t="s">
        <v>127</v>
      </c>
      <c r="K17" s="79" t="s">
        <v>127</v>
      </c>
      <c r="L17" s="48"/>
      <c r="M17" s="48"/>
      <c r="N17" s="163"/>
      <c r="O17" s="179"/>
      <c r="P17" s="80" t="s">
        <v>16</v>
      </c>
      <c r="Q17" s="79" t="s">
        <v>127</v>
      </c>
      <c r="R17" s="79" t="s">
        <v>127</v>
      </c>
      <c r="S17" s="72"/>
      <c r="T17" s="72"/>
      <c r="U17" s="163"/>
      <c r="V17" s="163"/>
    </row>
    <row r="18" spans="1:22" ht="13" customHeight="1" x14ac:dyDescent="0.3">
      <c r="A18" s="158" t="s">
        <v>33</v>
      </c>
      <c r="B18" s="73" t="s">
        <v>5</v>
      </c>
      <c r="C18" s="21" t="s">
        <v>34</v>
      </c>
      <c r="D18" s="81">
        <v>42531</v>
      </c>
      <c r="E18" s="23" t="s">
        <v>16</v>
      </c>
      <c r="F18" s="23" t="s">
        <v>16</v>
      </c>
      <c r="G18" s="24" t="s">
        <v>35</v>
      </c>
      <c r="H18" s="75">
        <v>0.44</v>
      </c>
      <c r="I18" s="25" t="s">
        <v>36</v>
      </c>
      <c r="J18" s="82">
        <v>20</v>
      </c>
      <c r="K18" s="28">
        <f t="shared" si="0"/>
        <v>4.4560186000000002E-2</v>
      </c>
      <c r="L18" s="57"/>
      <c r="M18" s="57"/>
      <c r="N18" s="161">
        <f>((0.488*K18)+(0.768*K19))/(K18+K19)</f>
        <v>0.51877881619937694</v>
      </c>
      <c r="O18" s="180"/>
      <c r="P18" s="83">
        <v>0.11</v>
      </c>
      <c r="Q18" s="82">
        <v>20</v>
      </c>
      <c r="R18" s="28">
        <f t="shared" si="1"/>
        <v>4.4560186000000002E-2</v>
      </c>
      <c r="S18" s="84"/>
      <c r="T18" s="84"/>
      <c r="U18" s="161">
        <f t="shared" ref="U18:V18" si="2">((P18*R18)+(P19*R19))/(R18+R19)</f>
        <v>0.15067200712060527</v>
      </c>
      <c r="V18" s="161"/>
    </row>
    <row r="19" spans="1:22" ht="14.15" customHeight="1" x14ac:dyDescent="0.3">
      <c r="A19" s="159"/>
      <c r="B19" s="31" t="s">
        <v>11</v>
      </c>
      <c r="C19" s="32" t="s">
        <v>37</v>
      </c>
      <c r="D19" s="85">
        <v>42531</v>
      </c>
      <c r="E19" s="34" t="s">
        <v>16</v>
      </c>
      <c r="F19" s="34" t="s">
        <v>16</v>
      </c>
      <c r="G19" s="35" t="s">
        <v>38</v>
      </c>
      <c r="H19" s="55">
        <v>0.71</v>
      </c>
      <c r="I19" s="36" t="s">
        <v>39</v>
      </c>
      <c r="J19" s="86">
        <v>2.4700000000000002</v>
      </c>
      <c r="K19" s="27">
        <f t="shared" si="0"/>
        <v>5.5031829710000006E-3</v>
      </c>
      <c r="L19" s="38"/>
      <c r="M19" s="38"/>
      <c r="N19" s="162"/>
      <c r="O19" s="179"/>
      <c r="P19" s="62">
        <v>0.48</v>
      </c>
      <c r="Q19" s="86">
        <v>2.4700000000000002</v>
      </c>
      <c r="R19" s="27">
        <f t="shared" si="1"/>
        <v>5.5031829710000006E-3</v>
      </c>
      <c r="S19" s="64"/>
      <c r="T19" s="64"/>
      <c r="U19" s="162"/>
      <c r="V19" s="162"/>
    </row>
    <row r="20" spans="1:22" ht="14.15" customHeight="1" x14ac:dyDescent="0.3">
      <c r="A20" s="159"/>
      <c r="B20" s="31" t="s">
        <v>14</v>
      </c>
      <c r="C20" s="32" t="s">
        <v>15</v>
      </c>
      <c r="D20" s="85">
        <v>42531</v>
      </c>
      <c r="E20" s="34" t="s">
        <v>16</v>
      </c>
      <c r="F20" s="34" t="s">
        <v>16</v>
      </c>
      <c r="G20" s="34" t="s">
        <v>16</v>
      </c>
      <c r="H20" s="34" t="s">
        <v>16</v>
      </c>
      <c r="I20" s="41" t="s">
        <v>16</v>
      </c>
      <c r="J20" s="86" t="s">
        <v>127</v>
      </c>
      <c r="K20" s="27" t="s">
        <v>127</v>
      </c>
      <c r="L20" s="38"/>
      <c r="M20" s="38"/>
      <c r="N20" s="162"/>
      <c r="O20" s="179"/>
      <c r="P20" s="41" t="s">
        <v>16</v>
      </c>
      <c r="Q20" s="86" t="s">
        <v>127</v>
      </c>
      <c r="R20" s="27" t="s">
        <v>127</v>
      </c>
      <c r="S20" s="43"/>
      <c r="T20" s="43"/>
      <c r="U20" s="162"/>
      <c r="V20" s="162"/>
    </row>
    <row r="21" spans="1:22" ht="14.15" customHeight="1" thickBot="1" x14ac:dyDescent="0.35">
      <c r="A21" s="160"/>
      <c r="B21" s="66" t="s">
        <v>17</v>
      </c>
      <c r="C21" s="67" t="s">
        <v>15</v>
      </c>
      <c r="D21" s="87">
        <v>42531</v>
      </c>
      <c r="E21" s="69" t="s">
        <v>16</v>
      </c>
      <c r="F21" s="69" t="s">
        <v>16</v>
      </c>
      <c r="G21" s="69" t="s">
        <v>16</v>
      </c>
      <c r="H21" s="69" t="s">
        <v>16</v>
      </c>
      <c r="I21" s="80" t="s">
        <v>16</v>
      </c>
      <c r="J21" s="79" t="s">
        <v>127</v>
      </c>
      <c r="K21" s="27" t="s">
        <v>127</v>
      </c>
      <c r="L21" s="48"/>
      <c r="M21" s="48"/>
      <c r="N21" s="163"/>
      <c r="O21" s="181"/>
      <c r="P21" s="70" t="s">
        <v>16</v>
      </c>
      <c r="Q21" s="79" t="s">
        <v>127</v>
      </c>
      <c r="R21" s="27" t="s">
        <v>127</v>
      </c>
      <c r="S21" s="72"/>
      <c r="T21" s="72"/>
      <c r="U21" s="163"/>
      <c r="V21" s="163"/>
    </row>
    <row r="22" spans="1:22" ht="13" customHeight="1" x14ac:dyDescent="0.3">
      <c r="A22" s="158" t="s">
        <v>40</v>
      </c>
      <c r="B22" s="73" t="s">
        <v>5</v>
      </c>
      <c r="C22" s="21" t="s">
        <v>41</v>
      </c>
      <c r="D22" s="81">
        <v>42440</v>
      </c>
      <c r="E22" s="23" t="s">
        <v>16</v>
      </c>
      <c r="F22" s="23" t="s">
        <v>16</v>
      </c>
      <c r="G22" s="24" t="s">
        <v>42</v>
      </c>
      <c r="H22" s="88">
        <v>0.35</v>
      </c>
      <c r="I22" s="89" t="s">
        <v>43</v>
      </c>
      <c r="J22" s="90">
        <v>23.59</v>
      </c>
      <c r="K22" s="28">
        <f t="shared" si="0"/>
        <v>5.2558739387000002E-2</v>
      </c>
      <c r="L22" s="57">
        <f>((0.42*K22)+(I26*K26)+(I27*K27))/(K22+K26+K27)</f>
        <v>3.4586946514917969</v>
      </c>
      <c r="M22" s="57">
        <f>(K22+K26+K27)/3</f>
        <v>1.0551629243870002</v>
      </c>
      <c r="N22" s="161">
        <f>((M22*L22)+(L23*M23)+(L24*M24)+(L25*M25))/(M22+M23+M24+M25)</f>
        <v>3.5081177916623982</v>
      </c>
      <c r="O22" s="186" t="s">
        <v>136</v>
      </c>
      <c r="P22" s="91">
        <v>0.06</v>
      </c>
      <c r="Q22" s="90">
        <v>23.59</v>
      </c>
      <c r="R22" s="28">
        <f t="shared" si="1"/>
        <v>5.2558739387000002E-2</v>
      </c>
      <c r="S22" s="57">
        <f>((P22*R22)+(P26*R26)+(P27*R27))/(R22+R26+R27)</f>
        <v>1.0286453824334694</v>
      </c>
      <c r="T22" s="57">
        <f>(R22+R26+R27)/3</f>
        <v>1.0551629243870002</v>
      </c>
      <c r="U22" s="161">
        <f>((T22*S22)+(S23*T23)+(S24*T24)+(S25*T25))/(T22+T23+T24+T25)</f>
        <v>1.0444487691624842</v>
      </c>
      <c r="V22" s="161"/>
    </row>
    <row r="23" spans="1:22" ht="14.15" customHeight="1" x14ac:dyDescent="0.3">
      <c r="A23" s="159"/>
      <c r="B23" s="31" t="s">
        <v>11</v>
      </c>
      <c r="C23" s="32" t="s">
        <v>44</v>
      </c>
      <c r="D23" s="85">
        <v>42440</v>
      </c>
      <c r="E23" s="34" t="s">
        <v>16</v>
      </c>
      <c r="F23" s="34" t="s">
        <v>16</v>
      </c>
      <c r="G23" s="35" t="s">
        <v>45</v>
      </c>
      <c r="H23" s="55">
        <v>0.8</v>
      </c>
      <c r="I23" s="92" t="s">
        <v>46</v>
      </c>
      <c r="J23" s="93">
        <v>3.5</v>
      </c>
      <c r="K23" s="27">
        <f t="shared" si="0"/>
        <v>7.7980325500000003E-3</v>
      </c>
      <c r="L23" s="38">
        <f>((0.89*K23)+(I28*K28))/(K23+K28)</f>
        <v>5.2415874790385688</v>
      </c>
      <c r="M23" s="38">
        <f>(K23+K28)/2</f>
        <v>1.9929543188500001E-2</v>
      </c>
      <c r="N23" s="162"/>
      <c r="O23" s="187"/>
      <c r="P23" s="62">
        <v>0.62</v>
      </c>
      <c r="Q23" s="93">
        <v>3.5</v>
      </c>
      <c r="R23" s="27">
        <f t="shared" si="1"/>
        <v>7.7980325500000003E-3</v>
      </c>
      <c r="S23" s="38">
        <f>((P23*R23)+(P28*R28))/(R23+R28)</f>
        <v>1.5691447736165454</v>
      </c>
      <c r="T23" s="38">
        <f>(R23+R28)/2</f>
        <v>1.9929543188500001E-2</v>
      </c>
      <c r="U23" s="162"/>
      <c r="V23" s="162"/>
    </row>
    <row r="24" spans="1:22" ht="14.15" customHeight="1" x14ac:dyDescent="0.3">
      <c r="A24" s="159"/>
      <c r="B24" s="31" t="s">
        <v>14</v>
      </c>
      <c r="C24" s="32" t="s">
        <v>15</v>
      </c>
      <c r="D24" s="85">
        <v>42440</v>
      </c>
      <c r="E24" s="34" t="s">
        <v>16</v>
      </c>
      <c r="F24" s="34" t="s">
        <v>16</v>
      </c>
      <c r="G24" s="34" t="s">
        <v>16</v>
      </c>
      <c r="H24" s="34" t="s">
        <v>16</v>
      </c>
      <c r="I24" s="41" t="s">
        <v>16</v>
      </c>
      <c r="J24" s="82" t="s">
        <v>127</v>
      </c>
      <c r="K24" s="38" t="s">
        <v>127</v>
      </c>
      <c r="L24" s="38">
        <v>4.4000000000000004</v>
      </c>
      <c r="M24" s="38">
        <f>(0+K29)/2</f>
        <v>7.5529515270000005E-3</v>
      </c>
      <c r="N24" s="162"/>
      <c r="O24" s="187"/>
      <c r="P24" s="41" t="s">
        <v>16</v>
      </c>
      <c r="Q24" s="82" t="s">
        <v>127</v>
      </c>
      <c r="R24" s="38" t="s">
        <v>127</v>
      </c>
      <c r="S24" s="43">
        <v>1.7</v>
      </c>
      <c r="T24" s="38">
        <f>(0+R29)/2</f>
        <v>7.5529515270000005E-3</v>
      </c>
      <c r="U24" s="162"/>
      <c r="V24" s="162"/>
    </row>
    <row r="25" spans="1:22" ht="14.15" customHeight="1" x14ac:dyDescent="0.3">
      <c r="A25" s="159"/>
      <c r="B25" s="31" t="s">
        <v>17</v>
      </c>
      <c r="C25" s="32" t="s">
        <v>15</v>
      </c>
      <c r="D25" s="85">
        <v>42440</v>
      </c>
      <c r="E25" s="34" t="s">
        <v>16</v>
      </c>
      <c r="F25" s="34" t="s">
        <v>16</v>
      </c>
      <c r="G25" s="34" t="s">
        <v>16</v>
      </c>
      <c r="H25" s="34" t="s">
        <v>16</v>
      </c>
      <c r="I25" s="41" t="s">
        <v>16</v>
      </c>
      <c r="J25" s="93" t="s">
        <v>127</v>
      </c>
      <c r="K25" s="27" t="s">
        <v>127</v>
      </c>
      <c r="L25" s="38">
        <v>5.7</v>
      </c>
      <c r="M25" s="38">
        <f>(0+K30)/2</f>
        <v>4.9573206925000004E-3</v>
      </c>
      <c r="N25" s="162"/>
      <c r="O25" s="187"/>
      <c r="P25" s="41" t="s">
        <v>16</v>
      </c>
      <c r="Q25" s="93" t="s">
        <v>127</v>
      </c>
      <c r="R25" s="27" t="s">
        <v>127</v>
      </c>
      <c r="S25" s="43">
        <v>1.3</v>
      </c>
      <c r="T25" s="38">
        <f>(0+R30)/2</f>
        <v>4.9573206925000004E-3</v>
      </c>
      <c r="U25" s="162"/>
      <c r="V25" s="162"/>
    </row>
    <row r="26" spans="1:22" ht="14.15" customHeight="1" x14ac:dyDescent="0.3">
      <c r="A26" s="159"/>
      <c r="B26" s="31" t="s">
        <v>5</v>
      </c>
      <c r="C26" s="32" t="s">
        <v>47</v>
      </c>
      <c r="D26" s="94">
        <v>42695</v>
      </c>
      <c r="E26" s="34" t="s">
        <v>16</v>
      </c>
      <c r="F26" s="34" t="s">
        <v>16</v>
      </c>
      <c r="G26" s="55">
        <v>0.96</v>
      </c>
      <c r="H26" s="95">
        <v>2.7</v>
      </c>
      <c r="I26" s="62">
        <v>3.66</v>
      </c>
      <c r="J26" s="96">
        <v>698.59</v>
      </c>
      <c r="K26" s="27">
        <f t="shared" si="0"/>
        <v>1.5564650168870002</v>
      </c>
      <c r="L26" s="63"/>
      <c r="M26" s="63"/>
      <c r="N26" s="162"/>
      <c r="O26" s="187"/>
      <c r="P26" s="62">
        <v>0.99</v>
      </c>
      <c r="Q26" s="96">
        <v>698.59</v>
      </c>
      <c r="R26" s="27">
        <f t="shared" si="1"/>
        <v>1.5564650168870002</v>
      </c>
      <c r="S26" s="64"/>
      <c r="T26" s="64"/>
      <c r="U26" s="162"/>
      <c r="V26" s="162"/>
    </row>
    <row r="27" spans="1:22" ht="14.15" customHeight="1" x14ac:dyDescent="0.3">
      <c r="A27" s="159"/>
      <c r="B27" s="31" t="s">
        <v>5</v>
      </c>
      <c r="C27" s="32" t="s">
        <v>48</v>
      </c>
      <c r="D27" s="94">
        <v>42695</v>
      </c>
      <c r="E27" s="34" t="s">
        <v>16</v>
      </c>
      <c r="F27" s="34" t="s">
        <v>16</v>
      </c>
      <c r="G27" s="55">
        <v>0.96</v>
      </c>
      <c r="H27" s="95">
        <v>2.4</v>
      </c>
      <c r="I27" s="62">
        <v>3.36</v>
      </c>
      <c r="J27" s="96">
        <v>698.59</v>
      </c>
      <c r="K27" s="27">
        <f t="shared" si="0"/>
        <v>1.5564650168870002</v>
      </c>
      <c r="L27" s="63"/>
      <c r="M27" s="63"/>
      <c r="N27" s="162"/>
      <c r="O27" s="187"/>
      <c r="P27" s="39">
        <v>1.1000000000000001</v>
      </c>
      <c r="Q27" s="96">
        <v>698.59</v>
      </c>
      <c r="R27" s="27">
        <f t="shared" si="1"/>
        <v>1.5564650168870002</v>
      </c>
      <c r="S27" s="40"/>
      <c r="T27" s="40"/>
      <c r="U27" s="162"/>
      <c r="V27" s="162"/>
    </row>
    <row r="28" spans="1:22" ht="14.15" customHeight="1" x14ac:dyDescent="0.3">
      <c r="A28" s="159"/>
      <c r="B28" s="31" t="s">
        <v>11</v>
      </c>
      <c r="C28" s="32" t="s">
        <v>49</v>
      </c>
      <c r="D28" s="94">
        <v>42695</v>
      </c>
      <c r="E28" s="34" t="s">
        <v>16</v>
      </c>
      <c r="F28" s="34" t="s">
        <v>16</v>
      </c>
      <c r="G28" s="95">
        <v>3.1</v>
      </c>
      <c r="H28" s="95">
        <v>3.2</v>
      </c>
      <c r="I28" s="39">
        <v>6.3</v>
      </c>
      <c r="J28" s="96">
        <v>14.39</v>
      </c>
      <c r="K28" s="27">
        <f t="shared" si="0"/>
        <v>3.2061053827000002E-2</v>
      </c>
      <c r="L28" s="63"/>
      <c r="M28" s="63"/>
      <c r="N28" s="162"/>
      <c r="O28" s="187"/>
      <c r="P28" s="39">
        <v>1.8</v>
      </c>
      <c r="Q28" s="96">
        <v>14.39</v>
      </c>
      <c r="R28" s="27">
        <f t="shared" si="1"/>
        <v>3.2061053827000002E-2</v>
      </c>
      <c r="S28" s="40"/>
      <c r="T28" s="40"/>
      <c r="U28" s="162"/>
      <c r="V28" s="162"/>
    </row>
    <row r="29" spans="1:22" ht="14.15" customHeight="1" x14ac:dyDescent="0.3">
      <c r="A29" s="159"/>
      <c r="B29" s="31" t="s">
        <v>14</v>
      </c>
      <c r="C29" s="32" t="s">
        <v>50</v>
      </c>
      <c r="D29" s="94">
        <v>42695</v>
      </c>
      <c r="E29" s="34" t="s">
        <v>16</v>
      </c>
      <c r="F29" s="34" t="s">
        <v>16</v>
      </c>
      <c r="G29" s="95">
        <v>2.1</v>
      </c>
      <c r="H29" s="95">
        <v>2.2999999999999998</v>
      </c>
      <c r="I29" s="39">
        <v>4.4000000000000004</v>
      </c>
      <c r="J29" s="96">
        <v>6.78</v>
      </c>
      <c r="K29" s="27">
        <f t="shared" si="0"/>
        <v>1.5105903054000001E-2</v>
      </c>
      <c r="L29" s="63"/>
      <c r="M29" s="63"/>
      <c r="N29" s="162"/>
      <c r="O29" s="187"/>
      <c r="P29" s="39">
        <v>1.7</v>
      </c>
      <c r="Q29" s="96">
        <v>6.78</v>
      </c>
      <c r="R29" s="27">
        <f t="shared" si="1"/>
        <v>1.5105903054000001E-2</v>
      </c>
      <c r="S29" s="40"/>
      <c r="T29" s="40"/>
      <c r="U29" s="162"/>
      <c r="V29" s="162"/>
    </row>
    <row r="30" spans="1:22" ht="14.15" customHeight="1" thickBot="1" x14ac:dyDescent="0.35">
      <c r="A30" s="160"/>
      <c r="B30" s="66" t="s">
        <v>17</v>
      </c>
      <c r="C30" s="67" t="s">
        <v>51</v>
      </c>
      <c r="D30" s="97">
        <v>42695</v>
      </c>
      <c r="E30" s="69" t="s">
        <v>16</v>
      </c>
      <c r="F30" s="69" t="s">
        <v>16</v>
      </c>
      <c r="G30" s="98">
        <v>1.7</v>
      </c>
      <c r="H30" s="99">
        <v>4</v>
      </c>
      <c r="I30" s="100">
        <v>5.7</v>
      </c>
      <c r="J30" s="101">
        <v>4.45</v>
      </c>
      <c r="K30" s="27">
        <f t="shared" si="0"/>
        <v>9.9146413850000007E-3</v>
      </c>
      <c r="L30" s="102"/>
      <c r="M30" s="102"/>
      <c r="N30" s="163"/>
      <c r="O30" s="188"/>
      <c r="P30" s="100">
        <v>1.3</v>
      </c>
      <c r="Q30" s="101">
        <v>4.45</v>
      </c>
      <c r="R30" s="27">
        <f t="shared" si="1"/>
        <v>9.9146413850000007E-3</v>
      </c>
      <c r="S30" s="103"/>
      <c r="T30" s="103"/>
      <c r="U30" s="163"/>
      <c r="V30" s="163"/>
    </row>
    <row r="31" spans="1:22" ht="13" customHeight="1" x14ac:dyDescent="0.3">
      <c r="A31" s="164" t="s">
        <v>52</v>
      </c>
      <c r="B31" s="73" t="s">
        <v>5</v>
      </c>
      <c r="C31" s="21" t="s">
        <v>53</v>
      </c>
      <c r="D31" s="81">
        <v>42533</v>
      </c>
      <c r="E31" s="23" t="s">
        <v>16</v>
      </c>
      <c r="F31" s="23" t="s">
        <v>16</v>
      </c>
      <c r="G31" s="29">
        <v>6.3E-2</v>
      </c>
      <c r="H31" s="75">
        <v>0.65</v>
      </c>
      <c r="I31" s="104">
        <v>0.72</v>
      </c>
      <c r="J31" s="105">
        <v>32.799999999999997</v>
      </c>
      <c r="K31" s="106">
        <f t="shared" si="0"/>
        <v>7.3078705039999997E-2</v>
      </c>
      <c r="L31" s="107"/>
      <c r="M31" s="107"/>
      <c r="N31" s="161">
        <f>((I31*K31)+(I32*K32))/(K31+K32)</f>
        <v>0.62236315673774456</v>
      </c>
      <c r="O31" s="179"/>
      <c r="P31" s="25" t="s">
        <v>122</v>
      </c>
      <c r="Q31" s="108">
        <v>32.799999999999997</v>
      </c>
      <c r="R31" s="106">
        <f t="shared" si="1"/>
        <v>7.3078705039999997E-2</v>
      </c>
      <c r="S31" s="109"/>
      <c r="T31" s="109"/>
      <c r="U31" s="161">
        <f>((0.02*R31)+(0.083*R32))/(R31+R32)</f>
        <v>3.7574631787205985E-2</v>
      </c>
      <c r="V31" s="161"/>
    </row>
    <row r="32" spans="1:22" ht="14.15" customHeight="1" x14ac:dyDescent="0.3">
      <c r="A32" s="165"/>
      <c r="B32" s="31" t="s">
        <v>11</v>
      </c>
      <c r="C32" s="32" t="s">
        <v>54</v>
      </c>
      <c r="D32" s="85">
        <v>42533</v>
      </c>
      <c r="E32" s="34" t="s">
        <v>16</v>
      </c>
      <c r="F32" s="34" t="s">
        <v>16</v>
      </c>
      <c r="G32" s="110">
        <v>5.1999999999999998E-2</v>
      </c>
      <c r="H32" s="55">
        <v>0.32</v>
      </c>
      <c r="I32" s="62">
        <v>0.37</v>
      </c>
      <c r="J32" s="96">
        <v>12.69</v>
      </c>
      <c r="K32" s="27">
        <f t="shared" si="0"/>
        <v>2.8273438017E-2</v>
      </c>
      <c r="L32" s="63"/>
      <c r="M32" s="63"/>
      <c r="N32" s="162"/>
      <c r="O32" s="179"/>
      <c r="P32" s="36" t="s">
        <v>55</v>
      </c>
      <c r="Q32" s="96">
        <v>12.69</v>
      </c>
      <c r="R32" s="27">
        <f t="shared" si="1"/>
        <v>2.8273438017E-2</v>
      </c>
      <c r="S32" s="111"/>
      <c r="T32" s="111"/>
      <c r="U32" s="162"/>
      <c r="V32" s="162"/>
    </row>
    <row r="33" spans="1:22" ht="14.15" customHeight="1" x14ac:dyDescent="0.3">
      <c r="A33" s="165"/>
      <c r="B33" s="31" t="s">
        <v>14</v>
      </c>
      <c r="C33" s="32" t="s">
        <v>15</v>
      </c>
      <c r="D33" s="85">
        <v>42533</v>
      </c>
      <c r="E33" s="34" t="s">
        <v>16</v>
      </c>
      <c r="F33" s="34" t="s">
        <v>16</v>
      </c>
      <c r="G33" s="34" t="s">
        <v>16</v>
      </c>
      <c r="H33" s="34" t="s">
        <v>16</v>
      </c>
      <c r="I33" s="41" t="s">
        <v>16</v>
      </c>
      <c r="J33" s="86" t="s">
        <v>127</v>
      </c>
      <c r="K33" s="27" t="s">
        <v>127</v>
      </c>
      <c r="L33" s="38"/>
      <c r="M33" s="38"/>
      <c r="N33" s="162"/>
      <c r="O33" s="179"/>
      <c r="P33" s="41" t="s">
        <v>16</v>
      </c>
      <c r="Q33" s="86" t="s">
        <v>127</v>
      </c>
      <c r="R33" s="27" t="s">
        <v>127</v>
      </c>
      <c r="S33" s="43"/>
      <c r="T33" s="43"/>
      <c r="U33" s="162"/>
      <c r="V33" s="162"/>
    </row>
    <row r="34" spans="1:22" ht="14.15" customHeight="1" thickBot="1" x14ac:dyDescent="0.35">
      <c r="A34" s="166"/>
      <c r="B34" s="66" t="s">
        <v>17</v>
      </c>
      <c r="C34" s="67" t="s">
        <v>15</v>
      </c>
      <c r="D34" s="87">
        <v>42533</v>
      </c>
      <c r="E34" s="69" t="s">
        <v>16</v>
      </c>
      <c r="F34" s="69" t="s">
        <v>16</v>
      </c>
      <c r="G34" s="69" t="s">
        <v>16</v>
      </c>
      <c r="H34" s="69" t="s">
        <v>16</v>
      </c>
      <c r="I34" s="70" t="s">
        <v>16</v>
      </c>
      <c r="J34" s="79" t="s">
        <v>127</v>
      </c>
      <c r="K34" s="27" t="s">
        <v>127</v>
      </c>
      <c r="L34" s="48"/>
      <c r="M34" s="48"/>
      <c r="N34" s="163"/>
      <c r="O34" s="181"/>
      <c r="P34" s="70" t="s">
        <v>16</v>
      </c>
      <c r="Q34" s="79" t="s">
        <v>127</v>
      </c>
      <c r="R34" s="27" t="s">
        <v>127</v>
      </c>
      <c r="S34" s="72"/>
      <c r="T34" s="72"/>
      <c r="U34" s="163"/>
      <c r="V34" s="163"/>
    </row>
    <row r="35" spans="1:22" ht="13" customHeight="1" x14ac:dyDescent="0.3">
      <c r="A35" s="171" t="s">
        <v>56</v>
      </c>
      <c r="B35" s="73" t="s">
        <v>5</v>
      </c>
      <c r="C35" s="21" t="s">
        <v>57</v>
      </c>
      <c r="D35" s="74">
        <v>42979</v>
      </c>
      <c r="E35" s="23" t="s">
        <v>16</v>
      </c>
      <c r="F35" s="23" t="s">
        <v>16</v>
      </c>
      <c r="G35" s="75">
        <v>0.69</v>
      </c>
      <c r="H35" s="112">
        <v>0.7</v>
      </c>
      <c r="I35" s="104">
        <v>1.39</v>
      </c>
      <c r="J35" s="108">
        <v>240</v>
      </c>
      <c r="K35" s="28">
        <f t="shared" si="0"/>
        <v>0.53472223200000002</v>
      </c>
      <c r="L35" s="107">
        <f>((I35*K35)+(0.641*K39)+(I43*K43))/(K35+K39+K43)</f>
        <v>1.494571719918423</v>
      </c>
      <c r="M35" s="107">
        <f>(K35+K39+K43)/3</f>
        <v>0.32774016803</v>
      </c>
      <c r="N35" s="161">
        <f>((L35*M35)+(L36*M36)+(L37*M37)+(L38*M38))/(SUM(M35:M38))</f>
        <v>1.7654446588450885</v>
      </c>
      <c r="O35" s="186"/>
      <c r="P35" s="113">
        <v>0.8</v>
      </c>
      <c r="Q35" s="108">
        <v>240</v>
      </c>
      <c r="R35" s="28">
        <f t="shared" si="1"/>
        <v>0.53472223200000002</v>
      </c>
      <c r="S35" s="107">
        <f>((P35*R35)+(P39*R39)+(0.41*R43))/(R35+P39+R43)</f>
        <v>0.601979423426384</v>
      </c>
      <c r="T35" s="107">
        <f>(R35+R39+R43)/3</f>
        <v>0.32774016803</v>
      </c>
      <c r="U35" s="161">
        <f>((S35*T35)+(S36*T36)+(S37*T37)+(S38*T38))/(SUM(T35:T38))</f>
        <v>2.63414757599516</v>
      </c>
      <c r="V35" s="161" t="s">
        <v>136</v>
      </c>
    </row>
    <row r="36" spans="1:22" ht="14.15" customHeight="1" x14ac:dyDescent="0.3">
      <c r="A36" s="172"/>
      <c r="B36" s="31" t="s">
        <v>11</v>
      </c>
      <c r="C36" s="32" t="s">
        <v>58</v>
      </c>
      <c r="D36" s="65">
        <v>42979</v>
      </c>
      <c r="E36" s="34" t="s">
        <v>16</v>
      </c>
      <c r="F36" s="34" t="s">
        <v>16</v>
      </c>
      <c r="G36" s="95">
        <v>1.3</v>
      </c>
      <c r="H36" s="55">
        <v>0.83</v>
      </c>
      <c r="I36" s="62">
        <v>2.13</v>
      </c>
      <c r="J36" s="105">
        <v>12400</v>
      </c>
      <c r="K36" s="38">
        <f t="shared" si="0"/>
        <v>27.627315320000001</v>
      </c>
      <c r="L36" s="107">
        <f>((I36*K36)+(4.76*K40))/(K36+K40)</f>
        <v>2.1536880129788134</v>
      </c>
      <c r="M36" s="107">
        <f>(K36+K40)/3</f>
        <v>9.2928039893700003</v>
      </c>
      <c r="N36" s="162"/>
      <c r="O36" s="187"/>
      <c r="P36" s="39">
        <v>6.2</v>
      </c>
      <c r="Q36" s="105">
        <v>12400</v>
      </c>
      <c r="R36" s="38">
        <f t="shared" si="1"/>
        <v>27.627315320000001</v>
      </c>
      <c r="S36" s="107">
        <f>((P36*R36)+(P40*R40))/(R36+R40)</f>
        <v>6.1496517138587192</v>
      </c>
      <c r="T36" s="107">
        <f>(R36+R40)/3</f>
        <v>9.2928039893700003</v>
      </c>
      <c r="U36" s="162"/>
      <c r="V36" s="162"/>
    </row>
    <row r="37" spans="1:22" ht="14.15" customHeight="1" x14ac:dyDescent="0.3">
      <c r="A37" s="172"/>
      <c r="B37" s="31" t="s">
        <v>14</v>
      </c>
      <c r="C37" s="32" t="s">
        <v>59</v>
      </c>
      <c r="D37" s="65">
        <v>42979</v>
      </c>
      <c r="E37" s="34" t="s">
        <v>16</v>
      </c>
      <c r="F37" s="34" t="s">
        <v>16</v>
      </c>
      <c r="G37" s="95">
        <v>1.6</v>
      </c>
      <c r="H37" s="95">
        <v>2.5</v>
      </c>
      <c r="I37" s="39">
        <v>4.0999999999999996</v>
      </c>
      <c r="J37" s="96">
        <v>22.2</v>
      </c>
      <c r="K37" s="27">
        <f t="shared" si="0"/>
        <v>4.946180646E-2</v>
      </c>
      <c r="L37" s="107">
        <f>((I37*K37)+(I45*K45))/(K37+K45)</f>
        <v>4.032265625</v>
      </c>
      <c r="M37" s="107">
        <f>(K37+0+K45)/3</f>
        <v>1.9012346026666665E-2</v>
      </c>
      <c r="N37" s="162"/>
      <c r="O37" s="187"/>
      <c r="P37" s="39">
        <v>2.1</v>
      </c>
      <c r="Q37" s="96">
        <v>22.2</v>
      </c>
      <c r="R37" s="27">
        <f t="shared" si="1"/>
        <v>4.946180646E-2</v>
      </c>
      <c r="S37" s="107">
        <f>((P37*R37)+(0.98*R45))/(R37+R45)</f>
        <v>1.9512500000000002</v>
      </c>
      <c r="T37" s="107">
        <f>(R37+0+R45)/3</f>
        <v>1.9012346026666665E-2</v>
      </c>
      <c r="U37" s="162"/>
      <c r="V37" s="162"/>
    </row>
    <row r="38" spans="1:22" ht="14.15" customHeight="1" x14ac:dyDescent="0.3">
      <c r="A38" s="172"/>
      <c r="B38" s="31" t="s">
        <v>17</v>
      </c>
      <c r="C38" s="32" t="s">
        <v>60</v>
      </c>
      <c r="D38" s="65">
        <v>42979</v>
      </c>
      <c r="E38" s="34" t="s">
        <v>16</v>
      </c>
      <c r="F38" s="34" t="s">
        <v>16</v>
      </c>
      <c r="G38" s="55">
        <v>0.38</v>
      </c>
      <c r="H38" s="95">
        <v>0.9</v>
      </c>
      <c r="I38" s="62">
        <v>1.28</v>
      </c>
      <c r="J38" s="114">
        <v>4164.5</v>
      </c>
      <c r="K38" s="27">
        <f t="shared" si="0"/>
        <v>9.278544729850001</v>
      </c>
      <c r="L38" s="107">
        <f>((I38*K38)+(I46*K46))/(K38+0+K46)</f>
        <v>1.5253872525712571</v>
      </c>
      <c r="M38" s="107">
        <f>(K38+0+K46)/3</f>
        <v>14.838913272883332</v>
      </c>
      <c r="N38" s="162"/>
      <c r="O38" s="187"/>
      <c r="P38" s="62">
        <v>0.51</v>
      </c>
      <c r="Q38" s="114">
        <v>4164.5</v>
      </c>
      <c r="R38" s="27">
        <f t="shared" si="1"/>
        <v>9.278544729850001</v>
      </c>
      <c r="S38" s="107">
        <f>((P38*R38)+(0.47*R46))/(R38+0+R46)</f>
        <v>0.47833712870048306</v>
      </c>
      <c r="T38" s="107">
        <f>(R38+0+R46)/3</f>
        <v>14.838913272883332</v>
      </c>
      <c r="U38" s="162"/>
      <c r="V38" s="162"/>
    </row>
    <row r="39" spans="1:22" ht="14.15" customHeight="1" x14ac:dyDescent="0.3">
      <c r="A39" s="172"/>
      <c r="B39" s="31" t="s">
        <v>5</v>
      </c>
      <c r="C39" s="32" t="s">
        <v>61</v>
      </c>
      <c r="D39" s="33">
        <v>42751</v>
      </c>
      <c r="E39" s="34" t="s">
        <v>16</v>
      </c>
      <c r="F39" s="34" t="s">
        <v>16</v>
      </c>
      <c r="G39" s="35" t="s">
        <v>62</v>
      </c>
      <c r="H39" s="55">
        <v>0.56999999999999995</v>
      </c>
      <c r="I39" s="36" t="s">
        <v>63</v>
      </c>
      <c r="J39" s="93">
        <v>58.5</v>
      </c>
      <c r="K39" s="27">
        <f t="shared" si="0"/>
        <v>0.13033854405</v>
      </c>
      <c r="L39" s="38"/>
      <c r="M39" s="38"/>
      <c r="N39" s="162"/>
      <c r="O39" s="187"/>
      <c r="P39" s="115">
        <v>9.5000000000000001E-2</v>
      </c>
      <c r="Q39" s="82">
        <v>58.5</v>
      </c>
      <c r="R39" s="38">
        <f t="shared" si="1"/>
        <v>0.13033854405</v>
      </c>
      <c r="S39" s="116"/>
      <c r="T39" s="116"/>
      <c r="U39" s="162"/>
      <c r="V39" s="162"/>
    </row>
    <row r="40" spans="1:22" ht="14.15" customHeight="1" x14ac:dyDescent="0.3">
      <c r="A40" s="172"/>
      <c r="B40" s="31" t="s">
        <v>11</v>
      </c>
      <c r="C40" s="32" t="s">
        <v>64</v>
      </c>
      <c r="D40" s="33">
        <v>42751</v>
      </c>
      <c r="E40" s="34" t="s">
        <v>16</v>
      </c>
      <c r="F40" s="34" t="s">
        <v>16</v>
      </c>
      <c r="G40" s="117">
        <v>4</v>
      </c>
      <c r="H40" s="55">
        <v>0.76</v>
      </c>
      <c r="I40" s="62">
        <v>4.76</v>
      </c>
      <c r="J40" s="96">
        <v>112.7</v>
      </c>
      <c r="K40" s="27">
        <f t="shared" si="0"/>
        <v>0.25109664811000004</v>
      </c>
      <c r="L40" s="63"/>
      <c r="M40" s="63"/>
      <c r="N40" s="162"/>
      <c r="O40" s="187"/>
      <c r="P40" s="62">
        <v>0.61</v>
      </c>
      <c r="Q40" s="96">
        <v>112.7</v>
      </c>
      <c r="R40" s="27">
        <f t="shared" si="1"/>
        <v>0.25109664811000004</v>
      </c>
      <c r="S40" s="64"/>
      <c r="T40" s="64"/>
      <c r="U40" s="162"/>
      <c r="V40" s="162"/>
    </row>
    <row r="41" spans="1:22" ht="14.15" customHeight="1" thickBot="1" x14ac:dyDescent="0.35">
      <c r="A41" s="172"/>
      <c r="B41" s="118" t="s">
        <v>14</v>
      </c>
      <c r="C41" s="119" t="s">
        <v>15</v>
      </c>
      <c r="D41" s="45">
        <v>42751</v>
      </c>
      <c r="E41" s="69" t="s">
        <v>16</v>
      </c>
      <c r="F41" s="69" t="s">
        <v>16</v>
      </c>
      <c r="G41" s="69" t="s">
        <v>16</v>
      </c>
      <c r="H41" s="69" t="s">
        <v>16</v>
      </c>
      <c r="I41" s="120" t="s">
        <v>16</v>
      </c>
      <c r="J41" s="93" t="s">
        <v>127</v>
      </c>
      <c r="K41" s="27" t="s">
        <v>127</v>
      </c>
      <c r="L41" s="38"/>
      <c r="M41" s="38"/>
      <c r="N41" s="162"/>
      <c r="O41" s="187"/>
      <c r="P41" s="120" t="s">
        <v>16</v>
      </c>
      <c r="Q41" s="93" t="s">
        <v>127</v>
      </c>
      <c r="R41" s="27" t="s">
        <v>127</v>
      </c>
      <c r="S41" s="43"/>
      <c r="T41" s="43"/>
      <c r="U41" s="162"/>
      <c r="V41" s="162"/>
    </row>
    <row r="42" spans="1:22" ht="13" customHeight="1" x14ac:dyDescent="0.3">
      <c r="A42" s="173"/>
      <c r="B42" s="121" t="s">
        <v>17</v>
      </c>
      <c r="C42" s="122" t="s">
        <v>15</v>
      </c>
      <c r="D42" s="123">
        <v>42751</v>
      </c>
      <c r="E42" s="124" t="s">
        <v>16</v>
      </c>
      <c r="F42" s="23" t="s">
        <v>16</v>
      </c>
      <c r="G42" s="23" t="s">
        <v>16</v>
      </c>
      <c r="H42" s="23" t="s">
        <v>16</v>
      </c>
      <c r="I42" s="125" t="s">
        <v>16</v>
      </c>
      <c r="J42" s="82" t="s">
        <v>127</v>
      </c>
      <c r="K42" s="38" t="s">
        <v>127</v>
      </c>
      <c r="L42" s="57"/>
      <c r="M42" s="57"/>
      <c r="N42" s="162"/>
      <c r="O42" s="187"/>
      <c r="P42" s="125" t="s">
        <v>16</v>
      </c>
      <c r="Q42" s="82" t="s">
        <v>127</v>
      </c>
      <c r="R42" s="38" t="s">
        <v>127</v>
      </c>
      <c r="S42" s="109"/>
      <c r="T42" s="109"/>
      <c r="U42" s="162"/>
      <c r="V42" s="162"/>
    </row>
    <row r="43" spans="1:22" ht="14.15" customHeight="1" x14ac:dyDescent="0.3">
      <c r="A43" s="172"/>
      <c r="B43" s="73" t="s">
        <v>5</v>
      </c>
      <c r="C43" s="21" t="s">
        <v>65</v>
      </c>
      <c r="D43" s="22">
        <v>42754</v>
      </c>
      <c r="E43" s="34" t="s">
        <v>16</v>
      </c>
      <c r="F43" s="34" t="s">
        <v>16</v>
      </c>
      <c r="G43" s="55">
        <v>0.72</v>
      </c>
      <c r="H43" s="95">
        <v>1.3</v>
      </c>
      <c r="I43" s="62">
        <v>2.02</v>
      </c>
      <c r="J43" s="96">
        <v>142.80000000000001</v>
      </c>
      <c r="K43" s="27">
        <f t="shared" si="0"/>
        <v>0.31815972804000003</v>
      </c>
      <c r="L43" s="63"/>
      <c r="M43" s="63"/>
      <c r="N43" s="162"/>
      <c r="O43" s="187"/>
      <c r="P43" s="36" t="s">
        <v>66</v>
      </c>
      <c r="Q43" s="96">
        <v>142.80000000000001</v>
      </c>
      <c r="R43" s="27">
        <f t="shared" si="1"/>
        <v>0.31815972804000003</v>
      </c>
      <c r="S43" s="111"/>
      <c r="T43" s="111"/>
      <c r="U43" s="162"/>
      <c r="V43" s="162"/>
    </row>
    <row r="44" spans="1:22" ht="38.25" customHeight="1" x14ac:dyDescent="0.3">
      <c r="A44" s="172"/>
      <c r="B44" s="126" t="s">
        <v>11</v>
      </c>
      <c r="C44" s="151" t="s">
        <v>67</v>
      </c>
      <c r="D44" s="33">
        <v>42754</v>
      </c>
      <c r="E44" s="152" t="s">
        <v>16</v>
      </c>
      <c r="F44" s="152" t="s">
        <v>16</v>
      </c>
      <c r="G44" s="153">
        <v>0.92</v>
      </c>
      <c r="H44" s="154">
        <v>4.4000000000000004</v>
      </c>
      <c r="I44" s="127">
        <v>5.32</v>
      </c>
      <c r="J44" s="155" t="s">
        <v>129</v>
      </c>
      <c r="K44" s="155" t="s">
        <v>129</v>
      </c>
      <c r="L44" s="156"/>
      <c r="M44" s="156"/>
      <c r="N44" s="162"/>
      <c r="O44" s="187"/>
      <c r="P44" s="128" t="s">
        <v>68</v>
      </c>
      <c r="Q44" s="155" t="s">
        <v>129</v>
      </c>
      <c r="R44" s="155" t="s">
        <v>129</v>
      </c>
      <c r="S44" s="157"/>
      <c r="T44" s="157"/>
      <c r="U44" s="162"/>
      <c r="V44" s="162"/>
    </row>
    <row r="45" spans="1:22" ht="14.15" customHeight="1" x14ac:dyDescent="0.3">
      <c r="A45" s="172"/>
      <c r="B45" s="31" t="s">
        <v>14</v>
      </c>
      <c r="C45" s="32" t="s">
        <v>69</v>
      </c>
      <c r="D45" s="33">
        <v>42754</v>
      </c>
      <c r="E45" s="34" t="s">
        <v>16</v>
      </c>
      <c r="F45" s="34" t="s">
        <v>16</v>
      </c>
      <c r="G45" s="55">
        <v>0.69</v>
      </c>
      <c r="H45" s="95">
        <v>2.9</v>
      </c>
      <c r="I45" s="62">
        <v>3.59</v>
      </c>
      <c r="J45" s="96">
        <v>3.4</v>
      </c>
      <c r="K45" s="27">
        <f t="shared" si="0"/>
        <v>7.5752316200000001E-3</v>
      </c>
      <c r="L45" s="63"/>
      <c r="M45" s="63"/>
      <c r="N45" s="162"/>
      <c r="O45" s="187"/>
      <c r="P45" s="36" t="s">
        <v>68</v>
      </c>
      <c r="Q45" s="96">
        <v>3.4</v>
      </c>
      <c r="R45" s="27">
        <f t="shared" si="1"/>
        <v>7.5752316200000001E-3</v>
      </c>
      <c r="S45" s="111"/>
      <c r="T45" s="111"/>
      <c r="U45" s="162"/>
      <c r="V45" s="162"/>
    </row>
    <row r="46" spans="1:22" ht="14.15" customHeight="1" thickBot="1" x14ac:dyDescent="0.35">
      <c r="A46" s="174"/>
      <c r="B46" s="66" t="s">
        <v>17</v>
      </c>
      <c r="C46" s="67" t="s">
        <v>70</v>
      </c>
      <c r="D46" s="129">
        <v>42754</v>
      </c>
      <c r="E46" s="69" t="s">
        <v>16</v>
      </c>
      <c r="F46" s="69" t="s">
        <v>16</v>
      </c>
      <c r="G46" s="130">
        <v>0.39</v>
      </c>
      <c r="H46" s="98">
        <v>1.2</v>
      </c>
      <c r="I46" s="131">
        <v>1.59</v>
      </c>
      <c r="J46" s="101">
        <v>15816</v>
      </c>
      <c r="K46" s="27">
        <f t="shared" si="0"/>
        <v>35.238195088799998</v>
      </c>
      <c r="L46" s="102"/>
      <c r="M46" s="102"/>
      <c r="N46" s="163"/>
      <c r="O46" s="188"/>
      <c r="P46" s="46" t="s">
        <v>71</v>
      </c>
      <c r="Q46" s="101">
        <v>15816</v>
      </c>
      <c r="R46" s="27">
        <f t="shared" si="1"/>
        <v>35.238195088799998</v>
      </c>
      <c r="S46" s="132"/>
      <c r="T46" s="132"/>
      <c r="U46" s="163"/>
      <c r="V46" s="163"/>
    </row>
    <row r="47" spans="1:22" ht="13" customHeight="1" x14ac:dyDescent="0.3">
      <c r="A47" s="158" t="s">
        <v>72</v>
      </c>
      <c r="B47" s="73" t="s">
        <v>5</v>
      </c>
      <c r="C47" s="21" t="s">
        <v>73</v>
      </c>
      <c r="D47" s="74">
        <v>42768</v>
      </c>
      <c r="E47" s="23" t="s">
        <v>16</v>
      </c>
      <c r="F47" s="23" t="s">
        <v>16</v>
      </c>
      <c r="G47" s="112">
        <v>1.9</v>
      </c>
      <c r="H47" s="24" t="s">
        <v>74</v>
      </c>
      <c r="I47" s="25" t="s">
        <v>75</v>
      </c>
      <c r="J47" s="76">
        <v>11.46</v>
      </c>
      <c r="K47" s="106">
        <f t="shared" si="0"/>
        <v>2.5532986578000003E-2</v>
      </c>
      <c r="L47" s="57"/>
      <c r="M47" s="57"/>
      <c r="N47" s="161">
        <f>((2.82*K47)+(3.9*K48))/(K47+K48)</f>
        <v>3.0776212624584716</v>
      </c>
      <c r="O47" s="186" t="s">
        <v>136</v>
      </c>
      <c r="P47" s="25" t="s">
        <v>76</v>
      </c>
      <c r="Q47" s="82">
        <v>11.46</v>
      </c>
      <c r="R47" s="28">
        <f t="shared" si="1"/>
        <v>2.5532986578000003E-2</v>
      </c>
      <c r="S47" s="77"/>
      <c r="T47" s="77"/>
      <c r="U47" s="161">
        <f>((0.034*R47)+(P48*R48))/(R47+R48)</f>
        <v>7.8368106312292352E-2</v>
      </c>
      <c r="V47" s="161"/>
    </row>
    <row r="48" spans="1:22" ht="14.15" customHeight="1" x14ac:dyDescent="0.3">
      <c r="A48" s="159"/>
      <c r="B48" s="31" t="s">
        <v>11</v>
      </c>
      <c r="C48" s="32" t="s">
        <v>77</v>
      </c>
      <c r="D48" s="65">
        <v>42768</v>
      </c>
      <c r="E48" s="34" t="s">
        <v>16</v>
      </c>
      <c r="F48" s="34" t="s">
        <v>16</v>
      </c>
      <c r="G48" s="95">
        <v>2.8</v>
      </c>
      <c r="H48" s="35" t="s">
        <v>78</v>
      </c>
      <c r="I48" s="36" t="s">
        <v>79</v>
      </c>
      <c r="J48" s="86">
        <v>3.59</v>
      </c>
      <c r="K48" s="27">
        <f t="shared" si="0"/>
        <v>7.998553387E-3</v>
      </c>
      <c r="L48" s="38"/>
      <c r="M48" s="38"/>
      <c r="N48" s="162"/>
      <c r="O48" s="187"/>
      <c r="P48" s="62">
        <v>0.22</v>
      </c>
      <c r="Q48" s="86">
        <v>3.59</v>
      </c>
      <c r="R48" s="27">
        <f t="shared" si="1"/>
        <v>7.998553387E-3</v>
      </c>
      <c r="S48" s="64"/>
      <c r="T48" s="64"/>
      <c r="U48" s="162"/>
      <c r="V48" s="162"/>
    </row>
    <row r="49" spans="1:22" ht="14.15" customHeight="1" x14ac:dyDescent="0.3">
      <c r="A49" s="159"/>
      <c r="B49" s="31" t="s">
        <v>14</v>
      </c>
      <c r="C49" s="32" t="s">
        <v>15</v>
      </c>
      <c r="D49" s="65">
        <v>42768</v>
      </c>
      <c r="E49" s="34" t="s">
        <v>16</v>
      </c>
      <c r="F49" s="34" t="s">
        <v>16</v>
      </c>
      <c r="G49" s="34" t="s">
        <v>16</v>
      </c>
      <c r="H49" s="34" t="s">
        <v>16</v>
      </c>
      <c r="I49" s="41" t="s">
        <v>16</v>
      </c>
      <c r="J49" s="93" t="s">
        <v>127</v>
      </c>
      <c r="K49" s="27" t="s">
        <v>127</v>
      </c>
      <c r="L49" s="38"/>
      <c r="M49" s="38"/>
      <c r="N49" s="162"/>
      <c r="O49" s="187"/>
      <c r="P49" s="41" t="s">
        <v>16</v>
      </c>
      <c r="Q49" s="93" t="s">
        <v>127</v>
      </c>
      <c r="R49" s="27" t="s">
        <v>127</v>
      </c>
      <c r="S49" s="43"/>
      <c r="T49" s="43"/>
      <c r="U49" s="162"/>
      <c r="V49" s="162"/>
    </row>
    <row r="50" spans="1:22" ht="14.15" customHeight="1" thickBot="1" x14ac:dyDescent="0.35">
      <c r="A50" s="160"/>
      <c r="B50" s="66" t="s">
        <v>17</v>
      </c>
      <c r="C50" s="67" t="s">
        <v>15</v>
      </c>
      <c r="D50" s="68">
        <v>42768</v>
      </c>
      <c r="E50" s="69" t="s">
        <v>16</v>
      </c>
      <c r="F50" s="69" t="s">
        <v>16</v>
      </c>
      <c r="G50" s="69" t="s">
        <v>16</v>
      </c>
      <c r="H50" s="69" t="s">
        <v>16</v>
      </c>
      <c r="I50" s="70" t="s">
        <v>16</v>
      </c>
      <c r="J50" s="133" t="s">
        <v>127</v>
      </c>
      <c r="K50" s="48" t="s">
        <v>127</v>
      </c>
      <c r="L50" s="48"/>
      <c r="M50" s="48"/>
      <c r="N50" s="163"/>
      <c r="O50" s="188"/>
      <c r="P50" s="70" t="s">
        <v>16</v>
      </c>
      <c r="Q50" s="133" t="s">
        <v>127</v>
      </c>
      <c r="R50" s="48" t="s">
        <v>127</v>
      </c>
      <c r="S50" s="72"/>
      <c r="T50" s="72"/>
      <c r="U50" s="163"/>
      <c r="V50" s="163"/>
    </row>
    <row r="51" spans="1:22" ht="13" customHeight="1" x14ac:dyDescent="0.3">
      <c r="A51" s="158" t="s">
        <v>80</v>
      </c>
      <c r="B51" s="73" t="s">
        <v>5</v>
      </c>
      <c r="C51" s="21" t="s">
        <v>81</v>
      </c>
      <c r="D51" s="74">
        <v>42797</v>
      </c>
      <c r="E51" s="23" t="s">
        <v>16</v>
      </c>
      <c r="F51" s="23" t="s">
        <v>16</v>
      </c>
      <c r="G51" s="112">
        <v>5.4</v>
      </c>
      <c r="H51" s="75">
        <v>0.34</v>
      </c>
      <c r="I51" s="104">
        <v>5.74</v>
      </c>
      <c r="J51" s="105">
        <v>22.75</v>
      </c>
      <c r="K51" s="28">
        <f t="shared" si="0"/>
        <v>5.0687211575000002E-2</v>
      </c>
      <c r="L51" s="107">
        <f>((I51*K51)+(1.85*K55))/(K51+K55)</f>
        <v>4.1752101944298481</v>
      </c>
      <c r="M51" s="107">
        <f>(K51+K55)/2</f>
        <v>4.2399016979000004E-2</v>
      </c>
      <c r="N51" s="161">
        <f>((L51*M51)+(L52*M52)+(L53*M53)+(L54*M54))/(SUM(M51:M54))</f>
        <v>4.2489615899955337</v>
      </c>
      <c r="O51" s="186" t="s">
        <v>136</v>
      </c>
      <c r="P51" s="25" t="s">
        <v>35</v>
      </c>
      <c r="Q51" s="105">
        <v>22.75</v>
      </c>
      <c r="R51" s="28">
        <f t="shared" si="1"/>
        <v>5.0687211575000002E-2</v>
      </c>
      <c r="S51" s="107">
        <f>((0.048*R51))/(R51)</f>
        <v>4.8000000000000001E-2</v>
      </c>
      <c r="T51" s="107">
        <f>(R51+R55)/2</f>
        <v>4.2399016979000004E-2</v>
      </c>
      <c r="U51" s="161">
        <f>((S51*T51)+(S52*T52)+(S53*T53)+(S54*T54))/(SUM(T51:T54))</f>
        <v>8.2815542652970087E-2</v>
      </c>
      <c r="V51" s="161"/>
    </row>
    <row r="52" spans="1:22" ht="14.15" customHeight="1" x14ac:dyDescent="0.3">
      <c r="A52" s="159"/>
      <c r="B52" s="31" t="s">
        <v>11</v>
      </c>
      <c r="C52" s="32" t="s">
        <v>82</v>
      </c>
      <c r="D52" s="65">
        <v>42797</v>
      </c>
      <c r="E52" s="34" t="s">
        <v>16</v>
      </c>
      <c r="F52" s="34" t="s">
        <v>16</v>
      </c>
      <c r="G52" s="95">
        <v>5.5</v>
      </c>
      <c r="H52" s="95">
        <v>0.8</v>
      </c>
      <c r="I52" s="39">
        <v>6.3</v>
      </c>
      <c r="J52" s="114">
        <v>4.4800000000000004</v>
      </c>
      <c r="K52" s="27">
        <f t="shared" si="0"/>
        <v>9.9814816640000012E-3</v>
      </c>
      <c r="L52" s="107">
        <f>((I52*K52)+(1.4*K56))/(K52+K56)</f>
        <v>4.6666666666666661</v>
      </c>
      <c r="M52" s="107">
        <f>(K52+K56)/2</f>
        <v>7.4861112480000009E-3</v>
      </c>
      <c r="N52" s="162"/>
      <c r="O52" s="187"/>
      <c r="P52" s="62">
        <v>0.28000000000000003</v>
      </c>
      <c r="Q52" s="114">
        <v>4.4800000000000004</v>
      </c>
      <c r="R52" s="27">
        <f t="shared" si="1"/>
        <v>9.9814816640000012E-3</v>
      </c>
      <c r="S52" s="107">
        <f>((P52*R52))/(R52)</f>
        <v>0.28000000000000003</v>
      </c>
      <c r="T52" s="107">
        <f>(R52+R56)/2</f>
        <v>7.4861112480000009E-3</v>
      </c>
      <c r="U52" s="162"/>
      <c r="V52" s="162"/>
    </row>
    <row r="53" spans="1:22" ht="14.15" customHeight="1" x14ac:dyDescent="0.3">
      <c r="A53" s="159"/>
      <c r="B53" s="31" t="s">
        <v>14</v>
      </c>
      <c r="C53" s="32" t="s">
        <v>15</v>
      </c>
      <c r="D53" s="65">
        <v>42797</v>
      </c>
      <c r="E53" s="34" t="s">
        <v>16</v>
      </c>
      <c r="F53" s="34" t="s">
        <v>16</v>
      </c>
      <c r="G53" s="34" t="s">
        <v>16</v>
      </c>
      <c r="H53" s="34" t="s">
        <v>16</v>
      </c>
      <c r="I53" s="41" t="s">
        <v>16</v>
      </c>
      <c r="J53" s="93" t="s">
        <v>127</v>
      </c>
      <c r="K53" s="27" t="s">
        <v>127</v>
      </c>
      <c r="L53" s="107">
        <v>0</v>
      </c>
      <c r="M53" s="107">
        <v>0</v>
      </c>
      <c r="N53" s="162"/>
      <c r="O53" s="187"/>
      <c r="P53" s="41" t="s">
        <v>16</v>
      </c>
      <c r="Q53" s="93" t="s">
        <v>127</v>
      </c>
      <c r="R53" s="27" t="s">
        <v>127</v>
      </c>
      <c r="S53" s="107">
        <v>0</v>
      </c>
      <c r="T53" s="107">
        <v>0</v>
      </c>
      <c r="U53" s="162"/>
      <c r="V53" s="162"/>
    </row>
    <row r="54" spans="1:22" ht="14.15" customHeight="1" x14ac:dyDescent="0.3">
      <c r="A54" s="159"/>
      <c r="B54" s="31" t="s">
        <v>17</v>
      </c>
      <c r="C54" s="32" t="s">
        <v>15</v>
      </c>
      <c r="D54" s="65">
        <v>42797</v>
      </c>
      <c r="E54" s="34" t="s">
        <v>16</v>
      </c>
      <c r="F54" s="34" t="s">
        <v>16</v>
      </c>
      <c r="G54" s="34" t="s">
        <v>16</v>
      </c>
      <c r="H54" s="34" t="s">
        <v>16</v>
      </c>
      <c r="I54" s="41" t="s">
        <v>16</v>
      </c>
      <c r="J54" s="93" t="s">
        <v>127</v>
      </c>
      <c r="K54" s="27" t="s">
        <v>127</v>
      </c>
      <c r="L54" s="107">
        <v>0</v>
      </c>
      <c r="M54" s="107">
        <v>0</v>
      </c>
      <c r="N54" s="162"/>
      <c r="O54" s="187"/>
      <c r="P54" s="41" t="s">
        <v>16</v>
      </c>
      <c r="Q54" s="93" t="s">
        <v>127</v>
      </c>
      <c r="R54" s="27" t="s">
        <v>127</v>
      </c>
      <c r="S54" s="107">
        <v>0</v>
      </c>
      <c r="T54" s="107">
        <v>0</v>
      </c>
      <c r="U54" s="162"/>
      <c r="V54" s="162"/>
    </row>
    <row r="55" spans="1:22" ht="14.15" customHeight="1" x14ac:dyDescent="0.3">
      <c r="A55" s="159"/>
      <c r="B55" s="31" t="s">
        <v>5</v>
      </c>
      <c r="C55" s="32" t="s">
        <v>83</v>
      </c>
      <c r="D55" s="33">
        <v>42822</v>
      </c>
      <c r="E55" s="34" t="s">
        <v>16</v>
      </c>
      <c r="F55" s="34" t="s">
        <v>16</v>
      </c>
      <c r="G55" s="35" t="s">
        <v>84</v>
      </c>
      <c r="H55" s="35" t="s">
        <v>85</v>
      </c>
      <c r="I55" s="36" t="s">
        <v>86</v>
      </c>
      <c r="J55" s="93">
        <v>15.31</v>
      </c>
      <c r="K55" s="27">
        <f t="shared" si="0"/>
        <v>3.4110822383000006E-2</v>
      </c>
      <c r="L55" s="38"/>
      <c r="M55" s="38"/>
      <c r="N55" s="162"/>
      <c r="O55" s="187"/>
      <c r="P55" s="36" t="s">
        <v>9</v>
      </c>
      <c r="Q55" s="93">
        <v>15.31</v>
      </c>
      <c r="R55" s="27">
        <f t="shared" ref="R55:R56" si="3">Q55*0.0022280093</f>
        <v>3.4110822383000006E-2</v>
      </c>
      <c r="S55" s="111"/>
      <c r="T55" s="111"/>
      <c r="U55" s="162"/>
      <c r="V55" s="162"/>
    </row>
    <row r="56" spans="1:22" ht="14.15" customHeight="1" x14ac:dyDescent="0.3">
      <c r="A56" s="159"/>
      <c r="B56" s="31" t="s">
        <v>11</v>
      </c>
      <c r="C56" s="32" t="s">
        <v>87</v>
      </c>
      <c r="D56" s="33">
        <v>42822</v>
      </c>
      <c r="E56" s="34" t="s">
        <v>16</v>
      </c>
      <c r="F56" s="34" t="s">
        <v>16</v>
      </c>
      <c r="G56" s="35" t="s">
        <v>88</v>
      </c>
      <c r="H56" s="55">
        <v>0.69</v>
      </c>
      <c r="I56" s="36" t="s">
        <v>84</v>
      </c>
      <c r="J56" s="93">
        <v>2.2400000000000002</v>
      </c>
      <c r="K56" s="27">
        <f t="shared" si="0"/>
        <v>4.9907408320000006E-3</v>
      </c>
      <c r="L56" s="38"/>
      <c r="M56" s="38"/>
      <c r="N56" s="162"/>
      <c r="O56" s="187"/>
      <c r="P56" s="36" t="s">
        <v>9</v>
      </c>
      <c r="Q56" s="93">
        <v>2.2400000000000002</v>
      </c>
      <c r="R56" s="27">
        <f t="shared" si="3"/>
        <v>4.9907408320000006E-3</v>
      </c>
      <c r="S56" s="111"/>
      <c r="T56" s="111"/>
      <c r="U56" s="162"/>
      <c r="V56" s="162"/>
    </row>
    <row r="57" spans="1:22" ht="14.15" customHeight="1" x14ac:dyDescent="0.3">
      <c r="A57" s="159"/>
      <c r="B57" s="31" t="s">
        <v>14</v>
      </c>
      <c r="C57" s="32" t="s">
        <v>15</v>
      </c>
      <c r="D57" s="33">
        <v>42822</v>
      </c>
      <c r="E57" s="34" t="s">
        <v>16</v>
      </c>
      <c r="F57" s="34" t="s">
        <v>16</v>
      </c>
      <c r="G57" s="34" t="s">
        <v>16</v>
      </c>
      <c r="H57" s="34" t="s">
        <v>16</v>
      </c>
      <c r="I57" s="41" t="s">
        <v>16</v>
      </c>
      <c r="J57" s="93" t="s">
        <v>127</v>
      </c>
      <c r="K57" s="27" t="s">
        <v>127</v>
      </c>
      <c r="L57" s="38"/>
      <c r="M57" s="38"/>
      <c r="N57" s="162"/>
      <c r="O57" s="187"/>
      <c r="P57" s="41" t="s">
        <v>16</v>
      </c>
      <c r="Q57" s="93" t="s">
        <v>127</v>
      </c>
      <c r="R57" s="27" t="s">
        <v>128</v>
      </c>
      <c r="S57" s="43"/>
      <c r="T57" s="43"/>
      <c r="U57" s="162"/>
      <c r="V57" s="162"/>
    </row>
    <row r="58" spans="1:22" ht="14.15" customHeight="1" thickBot="1" x14ac:dyDescent="0.35">
      <c r="A58" s="160"/>
      <c r="B58" s="66" t="s">
        <v>17</v>
      </c>
      <c r="C58" s="67" t="s">
        <v>15</v>
      </c>
      <c r="D58" s="129">
        <v>42822</v>
      </c>
      <c r="E58" s="69" t="s">
        <v>16</v>
      </c>
      <c r="F58" s="69" t="s">
        <v>16</v>
      </c>
      <c r="G58" s="69" t="s">
        <v>16</v>
      </c>
      <c r="H58" s="69" t="s">
        <v>16</v>
      </c>
      <c r="I58" s="70" t="s">
        <v>16</v>
      </c>
      <c r="J58" s="134" t="s">
        <v>127</v>
      </c>
      <c r="K58" s="27" t="s">
        <v>127</v>
      </c>
      <c r="L58" s="48"/>
      <c r="M58" s="48"/>
      <c r="N58" s="163"/>
      <c r="O58" s="188"/>
      <c r="P58" s="70" t="s">
        <v>16</v>
      </c>
      <c r="Q58" s="134" t="s">
        <v>127</v>
      </c>
      <c r="R58" s="27" t="s">
        <v>127</v>
      </c>
      <c r="S58" s="72"/>
      <c r="T58" s="72"/>
      <c r="U58" s="163"/>
      <c r="V58" s="163"/>
    </row>
    <row r="59" spans="1:22" ht="13" customHeight="1" x14ac:dyDescent="0.3">
      <c r="A59" s="164" t="s">
        <v>98</v>
      </c>
      <c r="B59" s="73" t="s">
        <v>99</v>
      </c>
      <c r="C59" s="21" t="s">
        <v>100</v>
      </c>
      <c r="D59" s="74">
        <v>42920</v>
      </c>
      <c r="E59" s="23" t="s">
        <v>101</v>
      </c>
      <c r="F59" s="23" t="s">
        <v>101</v>
      </c>
      <c r="G59" s="112">
        <v>1.5</v>
      </c>
      <c r="H59" s="75">
        <v>0.83</v>
      </c>
      <c r="I59" s="104">
        <v>2.33</v>
      </c>
      <c r="J59" s="135">
        <v>12.18</v>
      </c>
      <c r="K59" s="28">
        <f t="shared" si="0"/>
        <v>2.7137153274E-2</v>
      </c>
      <c r="L59" s="107"/>
      <c r="M59" s="107"/>
      <c r="N59" s="161">
        <f>((I59*K59)+(I60*K60)+(I62*K62))/(K59+K60+K62)</f>
        <v>2.4985311261366285</v>
      </c>
      <c r="O59" s="186" t="s">
        <v>136</v>
      </c>
      <c r="P59" s="25" t="s">
        <v>102</v>
      </c>
      <c r="Q59" s="135">
        <v>12.18</v>
      </c>
      <c r="R59" s="28">
        <f t="shared" si="1"/>
        <v>2.7137153274E-2</v>
      </c>
      <c r="S59" s="77"/>
      <c r="T59" s="77"/>
      <c r="U59" s="161">
        <f>((0.02*R59)+(P60*R60)+(P62*R62))/(R59+R60+R62)</f>
        <v>0.39086500349731879</v>
      </c>
      <c r="V59" s="161"/>
    </row>
    <row r="60" spans="1:22" ht="14.15" customHeight="1" x14ac:dyDescent="0.3">
      <c r="A60" s="165"/>
      <c r="B60" s="31" t="s">
        <v>103</v>
      </c>
      <c r="C60" s="32" t="s">
        <v>104</v>
      </c>
      <c r="D60" s="65">
        <v>42920</v>
      </c>
      <c r="E60" s="34" t="s">
        <v>101</v>
      </c>
      <c r="F60" s="34" t="s">
        <v>101</v>
      </c>
      <c r="G60" s="55">
        <v>0.56999999999999995</v>
      </c>
      <c r="H60" s="55">
        <v>0.73</v>
      </c>
      <c r="I60" s="39">
        <v>1.3</v>
      </c>
      <c r="J60" s="136">
        <v>4.835</v>
      </c>
      <c r="K60" s="27">
        <f t="shared" si="0"/>
        <v>1.07724249655E-2</v>
      </c>
      <c r="L60" s="63"/>
      <c r="M60" s="63"/>
      <c r="N60" s="162"/>
      <c r="O60" s="187"/>
      <c r="P60" s="39">
        <v>1.5</v>
      </c>
      <c r="Q60" s="114">
        <v>4.835</v>
      </c>
      <c r="R60" s="27">
        <f t="shared" si="1"/>
        <v>1.07724249655E-2</v>
      </c>
      <c r="S60" s="40"/>
      <c r="T60" s="40"/>
      <c r="U60" s="162"/>
      <c r="V60" s="162"/>
    </row>
    <row r="61" spans="1:22" ht="14.15" customHeight="1" x14ac:dyDescent="0.3">
      <c r="A61" s="165"/>
      <c r="B61" s="31" t="s">
        <v>105</v>
      </c>
      <c r="C61" s="32" t="s">
        <v>106</v>
      </c>
      <c r="D61" s="65">
        <v>42920</v>
      </c>
      <c r="E61" s="34" t="s">
        <v>101</v>
      </c>
      <c r="F61" s="34" t="s">
        <v>101</v>
      </c>
      <c r="G61" s="34" t="s">
        <v>101</v>
      </c>
      <c r="H61" s="34" t="s">
        <v>101</v>
      </c>
      <c r="I61" s="41" t="s">
        <v>101</v>
      </c>
      <c r="J61" s="93" t="s">
        <v>127</v>
      </c>
      <c r="K61" s="27" t="s">
        <v>127</v>
      </c>
      <c r="L61" s="38"/>
      <c r="M61" s="38"/>
      <c r="N61" s="162"/>
      <c r="O61" s="187"/>
      <c r="P61" s="41" t="s">
        <v>101</v>
      </c>
      <c r="Q61" s="137" t="s">
        <v>127</v>
      </c>
      <c r="R61" s="27" t="s">
        <v>127</v>
      </c>
      <c r="S61" s="43"/>
      <c r="T61" s="43"/>
      <c r="U61" s="162"/>
      <c r="V61" s="162"/>
    </row>
    <row r="62" spans="1:22" ht="14.15" customHeight="1" thickBot="1" x14ac:dyDescent="0.35">
      <c r="A62" s="166"/>
      <c r="B62" s="118" t="s">
        <v>107</v>
      </c>
      <c r="C62" s="32" t="s">
        <v>108</v>
      </c>
      <c r="D62" s="68">
        <v>42920</v>
      </c>
      <c r="E62" s="34" t="s">
        <v>101</v>
      </c>
      <c r="F62" s="34" t="s">
        <v>101</v>
      </c>
      <c r="G62" s="55">
        <v>0.77</v>
      </c>
      <c r="H62" s="95">
        <v>3.5</v>
      </c>
      <c r="I62" s="131">
        <v>4.2699999999999996</v>
      </c>
      <c r="J62" s="138">
        <v>4.43</v>
      </c>
      <c r="K62" s="48">
        <f t="shared" si="0"/>
        <v>9.8700811989999998E-3</v>
      </c>
      <c r="L62" s="139"/>
      <c r="M62" s="139"/>
      <c r="N62" s="163"/>
      <c r="O62" s="188"/>
      <c r="P62" s="100">
        <v>0.2</v>
      </c>
      <c r="Q62" s="138">
        <v>4.43</v>
      </c>
      <c r="R62" s="48">
        <f t="shared" ref="R62" si="4">Q62*0.0022280093</f>
        <v>9.8700811989999998E-3</v>
      </c>
      <c r="S62" s="103"/>
      <c r="T62" s="103"/>
      <c r="U62" s="163"/>
      <c r="V62" s="163"/>
    </row>
    <row r="63" spans="1:22" ht="13" customHeight="1" x14ac:dyDescent="0.3">
      <c r="A63" s="164" t="s">
        <v>109</v>
      </c>
      <c r="B63" s="20" t="s">
        <v>99</v>
      </c>
      <c r="C63" s="32" t="s">
        <v>110</v>
      </c>
      <c r="D63" s="74">
        <v>42830</v>
      </c>
      <c r="E63" s="34" t="s">
        <v>101</v>
      </c>
      <c r="F63" s="34" t="s">
        <v>101</v>
      </c>
      <c r="G63" s="55">
        <v>0.53</v>
      </c>
      <c r="H63" s="55">
        <v>0.74</v>
      </c>
      <c r="I63" s="83">
        <v>1.27</v>
      </c>
      <c r="J63" s="108">
        <v>1.4999999999999999E-2</v>
      </c>
      <c r="K63" s="28">
        <f t="shared" si="0"/>
        <v>3.34201395E-5</v>
      </c>
      <c r="L63" s="140"/>
      <c r="M63" s="140"/>
      <c r="N63" s="161">
        <f>((I63*K63)+(I64*K64))/(K63+K64)</f>
        <v>0.79141592920353987</v>
      </c>
      <c r="O63" s="179"/>
      <c r="P63" s="25" t="s">
        <v>111</v>
      </c>
      <c r="Q63" s="108">
        <v>1.4999999999999999E-2</v>
      </c>
      <c r="R63" s="141">
        <f t="shared" si="1"/>
        <v>3.34201395E-5</v>
      </c>
      <c r="S63" s="77"/>
      <c r="T63" s="77"/>
      <c r="U63" s="161">
        <f>((0.021*R63)+(P64*R64))/(R63+R64)</f>
        <v>0.22938348082595869</v>
      </c>
      <c r="V63" s="161"/>
    </row>
    <row r="64" spans="1:22" ht="14.15" customHeight="1" x14ac:dyDescent="0.3">
      <c r="A64" s="165"/>
      <c r="B64" s="31" t="s">
        <v>103</v>
      </c>
      <c r="C64" s="32" t="s">
        <v>112</v>
      </c>
      <c r="D64" s="65">
        <v>42830</v>
      </c>
      <c r="E64" s="34" t="s">
        <v>101</v>
      </c>
      <c r="F64" s="34" t="s">
        <v>101</v>
      </c>
      <c r="G64" s="55">
        <v>0.11</v>
      </c>
      <c r="H64" s="55">
        <v>0.68</v>
      </c>
      <c r="I64" s="62">
        <v>0.79</v>
      </c>
      <c r="J64" s="114">
        <v>5.07</v>
      </c>
      <c r="K64" s="27">
        <f t="shared" si="0"/>
        <v>1.1296007151000001E-2</v>
      </c>
      <c r="L64" s="63"/>
      <c r="M64" s="63"/>
      <c r="N64" s="162"/>
      <c r="O64" s="179"/>
      <c r="P64" s="62">
        <v>0.23</v>
      </c>
      <c r="Q64" s="96">
        <v>5.07</v>
      </c>
      <c r="R64" s="27">
        <f t="shared" si="1"/>
        <v>1.1296007151000001E-2</v>
      </c>
      <c r="S64" s="64"/>
      <c r="T64" s="64"/>
      <c r="U64" s="162"/>
      <c r="V64" s="162"/>
    </row>
    <row r="65" spans="1:22" ht="14.15" customHeight="1" x14ac:dyDescent="0.3">
      <c r="A65" s="165"/>
      <c r="B65" s="31" t="s">
        <v>105</v>
      </c>
      <c r="C65" s="32" t="s">
        <v>106</v>
      </c>
      <c r="D65" s="65">
        <v>42830</v>
      </c>
      <c r="E65" s="34" t="s">
        <v>101</v>
      </c>
      <c r="F65" s="34" t="s">
        <v>101</v>
      </c>
      <c r="G65" s="34" t="s">
        <v>101</v>
      </c>
      <c r="H65" s="34" t="s">
        <v>101</v>
      </c>
      <c r="I65" s="41" t="s">
        <v>101</v>
      </c>
      <c r="J65" s="37" t="s">
        <v>127</v>
      </c>
      <c r="K65" s="27" t="s">
        <v>127</v>
      </c>
      <c r="L65" s="38"/>
      <c r="M65" s="38"/>
      <c r="N65" s="162"/>
      <c r="O65" s="179"/>
      <c r="P65" s="41" t="s">
        <v>101</v>
      </c>
      <c r="Q65" s="93" t="s">
        <v>127</v>
      </c>
      <c r="R65" s="27" t="s">
        <v>127</v>
      </c>
      <c r="S65" s="43"/>
      <c r="T65" s="43"/>
      <c r="U65" s="162"/>
      <c r="V65" s="162"/>
    </row>
    <row r="66" spans="1:22" ht="14.15" customHeight="1" thickBot="1" x14ac:dyDescent="0.35">
      <c r="A66" s="166"/>
      <c r="B66" s="66" t="s">
        <v>107</v>
      </c>
      <c r="C66" s="67" t="s">
        <v>106</v>
      </c>
      <c r="D66" s="68">
        <v>42830</v>
      </c>
      <c r="E66" s="69" t="s">
        <v>101</v>
      </c>
      <c r="F66" s="69" t="s">
        <v>101</v>
      </c>
      <c r="G66" s="142" t="s">
        <v>101</v>
      </c>
      <c r="H66" s="142" t="s">
        <v>101</v>
      </c>
      <c r="I66" s="46" t="s">
        <v>101</v>
      </c>
      <c r="J66" s="93" t="s">
        <v>127</v>
      </c>
      <c r="K66" s="27" t="s">
        <v>127</v>
      </c>
      <c r="L66" s="48"/>
      <c r="M66" s="48"/>
      <c r="N66" s="163"/>
      <c r="O66" s="181"/>
      <c r="P66" s="46" t="s">
        <v>101</v>
      </c>
      <c r="Q66" s="143" t="s">
        <v>127</v>
      </c>
      <c r="R66" s="27" t="s">
        <v>127</v>
      </c>
      <c r="S66" s="132"/>
      <c r="T66" s="132"/>
      <c r="U66" s="163"/>
      <c r="V66" s="163"/>
    </row>
    <row r="67" spans="1:22" ht="13" customHeight="1" x14ac:dyDescent="0.3">
      <c r="A67" s="164" t="s">
        <v>113</v>
      </c>
      <c r="B67" s="73" t="s">
        <v>99</v>
      </c>
      <c r="C67" s="21" t="s">
        <v>114</v>
      </c>
      <c r="D67" s="74">
        <v>42772</v>
      </c>
      <c r="E67" s="23" t="s">
        <v>101</v>
      </c>
      <c r="F67" s="23" t="s">
        <v>101</v>
      </c>
      <c r="G67" s="112">
        <v>1.2</v>
      </c>
      <c r="H67" s="112">
        <v>1.5</v>
      </c>
      <c r="I67" s="113">
        <v>2.7</v>
      </c>
      <c r="J67" s="105">
        <v>5.03</v>
      </c>
      <c r="K67" s="28">
        <f t="shared" si="0"/>
        <v>1.1206886779000001E-2</v>
      </c>
      <c r="L67" s="107"/>
      <c r="M67" s="107"/>
      <c r="N67" s="161">
        <f>((I67*K67)+(0.789*K68))/(K67+K68)</f>
        <v>1.8875520000000001</v>
      </c>
      <c r="O67" s="179"/>
      <c r="P67" s="91">
        <v>7.0999999999999994E-2</v>
      </c>
      <c r="Q67" s="105">
        <v>5.03</v>
      </c>
      <c r="R67" s="28">
        <f t="shared" si="1"/>
        <v>1.1206886779000001E-2</v>
      </c>
      <c r="S67" s="144"/>
      <c r="T67" s="144"/>
      <c r="U67" s="161">
        <f>((P67*R67)+(P68*R68))/(R67+R68)</f>
        <v>0.18111200000000002</v>
      </c>
      <c r="V67" s="161"/>
    </row>
    <row r="68" spans="1:22" ht="14.15" customHeight="1" x14ac:dyDescent="0.3">
      <c r="A68" s="165"/>
      <c r="B68" s="31" t="s">
        <v>103</v>
      </c>
      <c r="C68" s="32" t="s">
        <v>115</v>
      </c>
      <c r="D68" s="65">
        <v>42772</v>
      </c>
      <c r="E68" s="34" t="s">
        <v>101</v>
      </c>
      <c r="F68" s="34" t="s">
        <v>101</v>
      </c>
      <c r="G68" s="35" t="s">
        <v>116</v>
      </c>
      <c r="H68" s="55">
        <v>0.75</v>
      </c>
      <c r="I68" s="36" t="s">
        <v>117</v>
      </c>
      <c r="J68" s="37">
        <v>3.72</v>
      </c>
      <c r="K68" s="27">
        <f t="shared" si="0"/>
        <v>8.2881945960000016E-3</v>
      </c>
      <c r="L68" s="38"/>
      <c r="M68" s="38"/>
      <c r="N68" s="162"/>
      <c r="O68" s="179"/>
      <c r="P68" s="62">
        <v>0.33</v>
      </c>
      <c r="Q68" s="37">
        <v>3.72</v>
      </c>
      <c r="R68" s="27">
        <f t="shared" si="1"/>
        <v>8.2881945960000016E-3</v>
      </c>
      <c r="S68" s="64"/>
      <c r="T68" s="64"/>
      <c r="U68" s="162"/>
      <c r="V68" s="162"/>
    </row>
    <row r="69" spans="1:22" ht="14.15" customHeight="1" x14ac:dyDescent="0.3">
      <c r="A69" s="165"/>
      <c r="B69" s="31" t="s">
        <v>105</v>
      </c>
      <c r="C69" s="32" t="s">
        <v>106</v>
      </c>
      <c r="D69" s="65">
        <v>42772</v>
      </c>
      <c r="E69" s="34" t="s">
        <v>101</v>
      </c>
      <c r="F69" s="34" t="s">
        <v>101</v>
      </c>
      <c r="G69" s="34" t="s">
        <v>101</v>
      </c>
      <c r="H69" s="34" t="s">
        <v>101</v>
      </c>
      <c r="I69" s="41" t="s">
        <v>101</v>
      </c>
      <c r="J69" s="37" t="s">
        <v>127</v>
      </c>
      <c r="K69" s="27" t="s">
        <v>127</v>
      </c>
      <c r="L69" s="38"/>
      <c r="M69" s="38"/>
      <c r="N69" s="162"/>
      <c r="O69" s="179"/>
      <c r="P69" s="41" t="s">
        <v>101</v>
      </c>
      <c r="Q69" s="37" t="s">
        <v>127</v>
      </c>
      <c r="R69" s="27" t="s">
        <v>127</v>
      </c>
      <c r="S69" s="43"/>
      <c r="T69" s="43"/>
      <c r="U69" s="162"/>
      <c r="V69" s="162"/>
    </row>
    <row r="70" spans="1:22" ht="14.15" customHeight="1" thickBot="1" x14ac:dyDescent="0.35">
      <c r="A70" s="166"/>
      <c r="B70" s="66" t="s">
        <v>107</v>
      </c>
      <c r="C70" s="67" t="s">
        <v>106</v>
      </c>
      <c r="D70" s="68">
        <v>42772</v>
      </c>
      <c r="E70" s="69" t="s">
        <v>101</v>
      </c>
      <c r="F70" s="69" t="s">
        <v>101</v>
      </c>
      <c r="G70" s="142" t="s">
        <v>101</v>
      </c>
      <c r="H70" s="142" t="s">
        <v>101</v>
      </c>
      <c r="I70" s="46" t="s">
        <v>101</v>
      </c>
      <c r="J70" s="134" t="s">
        <v>127</v>
      </c>
      <c r="K70" s="145" t="s">
        <v>127</v>
      </c>
      <c r="L70" s="48"/>
      <c r="M70" s="48"/>
      <c r="N70" s="163"/>
      <c r="O70" s="181"/>
      <c r="P70" s="46" t="s">
        <v>101</v>
      </c>
      <c r="Q70" s="134" t="s">
        <v>127</v>
      </c>
      <c r="R70" s="145" t="s">
        <v>127</v>
      </c>
      <c r="S70" s="132"/>
      <c r="T70" s="132"/>
      <c r="U70" s="163"/>
      <c r="V70" s="163"/>
    </row>
    <row r="71" spans="1:22" ht="15" customHeight="1" x14ac:dyDescent="0.3">
      <c r="A71" s="4" t="s">
        <v>89</v>
      </c>
    </row>
    <row r="72" spans="1:22" ht="15" customHeight="1" x14ac:dyDescent="0.3">
      <c r="A72" s="2" t="s">
        <v>90</v>
      </c>
      <c r="B72" s="2"/>
      <c r="C72" s="2"/>
      <c r="D72" s="2"/>
      <c r="E72" s="2"/>
      <c r="F72" s="2"/>
      <c r="G72" s="2"/>
      <c r="H72" s="2"/>
      <c r="I72" s="2"/>
    </row>
    <row r="73" spans="1:22" ht="15" customHeight="1" x14ac:dyDescent="0.3">
      <c r="A73" s="2" t="s">
        <v>91</v>
      </c>
      <c r="B73" s="2"/>
      <c r="C73" s="2"/>
      <c r="D73" s="2"/>
      <c r="E73" s="2"/>
      <c r="F73" s="2"/>
      <c r="G73" s="2"/>
      <c r="H73" s="2"/>
    </row>
    <row r="74" spans="1:22" ht="15" customHeight="1" x14ac:dyDescent="0.3">
      <c r="A74" s="5" t="s">
        <v>118</v>
      </c>
      <c r="B74" s="2"/>
      <c r="C74" s="2"/>
      <c r="D74" s="2"/>
      <c r="E74" s="2"/>
      <c r="F74" s="2"/>
      <c r="G74" s="2"/>
      <c r="H74" s="2"/>
      <c r="I74" s="2"/>
      <c r="J74" s="12"/>
      <c r="K74" s="15"/>
      <c r="L74" s="15"/>
      <c r="M74" s="15"/>
      <c r="N74" s="5"/>
      <c r="O74" s="5"/>
      <c r="P74" s="2"/>
      <c r="Q74" s="12"/>
      <c r="R74" s="15"/>
      <c r="S74" s="2"/>
      <c r="T74" s="2"/>
      <c r="U74" s="5"/>
    </row>
    <row r="75" spans="1:22" ht="15" customHeight="1" x14ac:dyDescent="0.3">
      <c r="A75" s="5" t="s">
        <v>134</v>
      </c>
      <c r="B75" s="2"/>
      <c r="C75" s="2"/>
      <c r="D75" s="2"/>
      <c r="E75" s="2"/>
      <c r="F75" s="2"/>
      <c r="G75" s="2"/>
      <c r="H75" s="2"/>
      <c r="I75" s="2"/>
      <c r="J75" s="12"/>
      <c r="K75" s="15"/>
      <c r="L75" s="15"/>
      <c r="M75" s="15"/>
      <c r="N75" s="5"/>
      <c r="O75" s="5"/>
      <c r="P75" s="2"/>
      <c r="Q75" s="12"/>
      <c r="R75" s="15"/>
      <c r="S75" s="2"/>
      <c r="T75" s="2"/>
      <c r="U75" s="5"/>
    </row>
    <row r="76" spans="1:22" ht="15" customHeight="1" x14ac:dyDescent="0.3">
      <c r="A76" s="5" t="s">
        <v>119</v>
      </c>
      <c r="B76" s="2"/>
      <c r="C76" s="2"/>
      <c r="D76" s="2"/>
      <c r="E76" s="2"/>
      <c r="F76" s="2"/>
      <c r="G76" s="2"/>
      <c r="H76" s="2"/>
      <c r="I76" s="2"/>
      <c r="J76" s="12"/>
      <c r="K76" s="15"/>
      <c r="L76" s="15"/>
      <c r="M76" s="15"/>
      <c r="N76" s="5"/>
      <c r="O76" s="5"/>
      <c r="P76" s="2"/>
      <c r="Q76" s="12"/>
      <c r="R76" s="15"/>
      <c r="S76" s="2"/>
      <c r="T76" s="2"/>
      <c r="U76" s="5"/>
    </row>
    <row r="77" spans="1:22" ht="15" customHeight="1" x14ac:dyDescent="0.3">
      <c r="A77" s="5" t="s">
        <v>92</v>
      </c>
      <c r="B77" s="2"/>
      <c r="C77" s="2"/>
      <c r="D77" s="2"/>
      <c r="E77" s="2"/>
      <c r="F77" s="2"/>
      <c r="G77" s="2"/>
      <c r="H77" s="2"/>
    </row>
  </sheetData>
  <mergeCells count="56">
    <mergeCell ref="V67:V70"/>
    <mergeCell ref="V31:V34"/>
    <mergeCell ref="V47:V50"/>
    <mergeCell ref="V51:V58"/>
    <mergeCell ref="V59:V62"/>
    <mergeCell ref="V63:V66"/>
    <mergeCell ref="V5:V9"/>
    <mergeCell ref="V10:V13"/>
    <mergeCell ref="V14:V17"/>
    <mergeCell ref="V18:V21"/>
    <mergeCell ref="V22:V30"/>
    <mergeCell ref="O35:O46"/>
    <mergeCell ref="O47:O50"/>
    <mergeCell ref="O51:O58"/>
    <mergeCell ref="O59:O62"/>
    <mergeCell ref="V35:V46"/>
    <mergeCell ref="A47:A50"/>
    <mergeCell ref="N47:N50"/>
    <mergeCell ref="U47:U50"/>
    <mergeCell ref="A51:A58"/>
    <mergeCell ref="N51:N58"/>
    <mergeCell ref="A22:A30"/>
    <mergeCell ref="N22:N30"/>
    <mergeCell ref="U22:U30"/>
    <mergeCell ref="A31:A34"/>
    <mergeCell ref="N31:N34"/>
    <mergeCell ref="U31:U34"/>
    <mergeCell ref="O22:O30"/>
    <mergeCell ref="A2:U2"/>
    <mergeCell ref="A3:D3"/>
    <mergeCell ref="A5:A9"/>
    <mergeCell ref="N5:N9"/>
    <mergeCell ref="U5:U9"/>
    <mergeCell ref="E4:U4"/>
    <mergeCell ref="A10:A13"/>
    <mergeCell ref="N10:N13"/>
    <mergeCell ref="U10:U13"/>
    <mergeCell ref="A14:A17"/>
    <mergeCell ref="N14:N17"/>
    <mergeCell ref="U14:U17"/>
    <mergeCell ref="A18:A21"/>
    <mergeCell ref="N18:N21"/>
    <mergeCell ref="U18:U21"/>
    <mergeCell ref="A67:A70"/>
    <mergeCell ref="N67:N70"/>
    <mergeCell ref="U67:U70"/>
    <mergeCell ref="A59:A62"/>
    <mergeCell ref="N59:N62"/>
    <mergeCell ref="U59:U62"/>
    <mergeCell ref="A63:A66"/>
    <mergeCell ref="N63:N66"/>
    <mergeCell ref="U63:U66"/>
    <mergeCell ref="A35:A46"/>
    <mergeCell ref="N35:N46"/>
    <mergeCell ref="U35:U46"/>
    <mergeCell ref="U51:U58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FY16-17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Technical Memorandum</dc:title>
  <dc:subject>Outfall Monitoring Results: Machado Lake TMDL Dry Weather Monitoring, June 2, 2017</dc:subject>
  <dc:creator>Anchor QEA, LLC</dc:creator>
  <cp:lastModifiedBy>mkim</cp:lastModifiedBy>
  <dcterms:created xsi:type="dcterms:W3CDTF">2017-11-02T08:48:17Z</dcterms:created>
  <dcterms:modified xsi:type="dcterms:W3CDTF">2017-12-12T18:38:33Z</dcterms:modified>
</cp:coreProperties>
</file>